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hs.sharepoint.com/sites/msteams_7baceb-Transformation2627/Shared Documents/Transformation 26 27/05 Application Process and Documentation/01 Application Form and Guidance Docs/"/>
    </mc:Choice>
  </mc:AlternateContent>
  <xr:revisionPtr revIDLastSave="393" documentId="13_ncr:1_{A0BF3B6B-37AA-41E7-BFA8-0600E745E861}" xr6:coauthVersionLast="47" xr6:coauthVersionMax="47" xr10:uidLastSave="{5908F064-FFC9-404C-990B-0F9AD98395EA}"/>
  <bookViews>
    <workbookView xWindow="28680" yWindow="-120" windowWidth="29040" windowHeight="15720" firstSheet="2" activeTab="2" xr2:uid="{42FE7353-FEB5-43A4-85FE-E9D83031FD24}"/>
  </bookViews>
  <sheets>
    <sheet name="Lists" sheetId="2" state="hidden" r:id="rId1"/>
    <sheet name="TF Impacts - Archive" sheetId="1" state="hidden" r:id="rId2"/>
    <sheet name="Summary" sheetId="7" r:id="rId3"/>
    <sheet name="ICB Metrics" sheetId="8" r:id="rId4"/>
    <sheet name="Economic Case - Benefits" sheetId="4" r:id="rId5"/>
    <sheet name="Financial Case - Investment" sheetId="5" r:id="rId6"/>
    <sheet name="Financial Case - Savings" sheetId="6" r:id="rId7"/>
    <sheet name="Management Case - Milestones" sheetId="3" r:id="rId8"/>
  </sheets>
  <definedNames>
    <definedName name="_xlnm._FilterDatabase" localSheetId="3" hidden="1">'ICB Metrics'!$A$2:$C$55</definedName>
    <definedName name="ApplicationTitle">Summary!$C$2</definedName>
    <definedName name="BenefitCategory">Lists!$E$2:$E$6</definedName>
    <definedName name="InvestmentCategory">Lists!$A$14:$A$26</definedName>
    <definedName name="MilestoneType">Lists!$C$2:$C$6</definedName>
    <definedName name="Occurrence">Lists!$A$9:$A$10</definedName>
    <definedName name="_xlnm.Print_Titles" localSheetId="4">'Economic Case - Benefits'!$1:$6</definedName>
    <definedName name="SavingCategory">Lists!$C$14:$C$26</definedName>
    <definedName name="SavingType">Lists!$A$2:$A$5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6" l="1"/>
  <c r="G16" i="6"/>
  <c r="G17" i="6"/>
  <c r="G18" i="6"/>
  <c r="G19" i="6"/>
  <c r="G20" i="6"/>
  <c r="G21" i="6"/>
  <c r="G22" i="6"/>
  <c r="G23" i="6"/>
  <c r="G24" i="6"/>
  <c r="G25" i="6"/>
  <c r="B28" i="4"/>
  <c r="B29" i="4"/>
  <c r="C29" i="4" s="1"/>
  <c r="B27" i="4"/>
  <c r="C27" i="4" s="1"/>
  <c r="C28" i="4"/>
  <c r="B23" i="4"/>
  <c r="C23" i="4" s="1"/>
  <c r="B24" i="4"/>
  <c r="C24" i="4" s="1"/>
  <c r="B25" i="4"/>
  <c r="C25" i="4" s="1"/>
  <c r="C21" i="4"/>
  <c r="C20" i="4"/>
  <c r="C17" i="4"/>
  <c r="C16" i="4"/>
  <c r="C9" i="4"/>
  <c r="C8" i="4"/>
  <c r="B19" i="4"/>
  <c r="C19" i="4" s="1"/>
  <c r="B20" i="4"/>
  <c r="B21" i="4"/>
  <c r="B15" i="4"/>
  <c r="C15" i="4" s="1"/>
  <c r="B16" i="4"/>
  <c r="B17" i="4"/>
  <c r="B11" i="4"/>
  <c r="C11" i="4" s="1"/>
  <c r="B12" i="4"/>
  <c r="C12" i="4" s="1"/>
  <c r="B13" i="4"/>
  <c r="C13" i="4" s="1"/>
  <c r="B8" i="4"/>
  <c r="B9" i="4"/>
  <c r="B7" i="4"/>
  <c r="C7" i="4" s="1"/>
  <c r="E8" i="5" l="1"/>
  <c r="E9" i="5"/>
  <c r="E10" i="5"/>
  <c r="E11" i="5"/>
  <c r="E12" i="5"/>
  <c r="E13" i="5"/>
  <c r="E14" i="5"/>
  <c r="U25" i="6"/>
  <c r="AH25" i="6"/>
  <c r="AU25" i="6"/>
  <c r="BH25" i="6"/>
  <c r="BU25" i="6"/>
  <c r="J7" i="6" l="1"/>
  <c r="K7" i="6"/>
  <c r="L7" i="6"/>
  <c r="M7" i="6"/>
  <c r="N7" i="6"/>
  <c r="O7" i="6"/>
  <c r="P7" i="6"/>
  <c r="Q7" i="6"/>
  <c r="R7" i="6"/>
  <c r="S7" i="6"/>
  <c r="T7" i="6"/>
  <c r="V7" i="6"/>
  <c r="W7" i="6"/>
  <c r="X7" i="6"/>
  <c r="Y7" i="6"/>
  <c r="Z7" i="6"/>
  <c r="AA7" i="6"/>
  <c r="AB7" i="6"/>
  <c r="AC7" i="6"/>
  <c r="AD7" i="6"/>
  <c r="AE7" i="6"/>
  <c r="AF7" i="6"/>
  <c r="AG7" i="6"/>
  <c r="AI7" i="6"/>
  <c r="AJ7" i="6"/>
  <c r="AK7" i="6"/>
  <c r="AL7" i="6"/>
  <c r="AM7" i="6"/>
  <c r="AN7" i="6"/>
  <c r="AO7" i="6"/>
  <c r="AP7" i="6"/>
  <c r="AQ7" i="6"/>
  <c r="AR7" i="6"/>
  <c r="AS7" i="6"/>
  <c r="AT7" i="6"/>
  <c r="AV7" i="6"/>
  <c r="AW7" i="6"/>
  <c r="AX7" i="6"/>
  <c r="AY7" i="6"/>
  <c r="AZ7" i="6"/>
  <c r="BA7" i="6"/>
  <c r="BB7" i="6"/>
  <c r="BC7" i="6"/>
  <c r="BD7" i="6"/>
  <c r="BE7" i="6"/>
  <c r="BF7" i="6"/>
  <c r="BG7" i="6"/>
  <c r="BI7" i="6"/>
  <c r="BJ7" i="6"/>
  <c r="BK7" i="6"/>
  <c r="BL7" i="6"/>
  <c r="BM7" i="6"/>
  <c r="BN7" i="6"/>
  <c r="BO7" i="6"/>
  <c r="BP7" i="6"/>
  <c r="BQ7" i="6"/>
  <c r="BR7" i="6"/>
  <c r="BS7" i="6"/>
  <c r="BT7" i="6"/>
  <c r="V26" i="6"/>
  <c r="W26" i="6"/>
  <c r="X26" i="6"/>
  <c r="Y26" i="6"/>
  <c r="Z26" i="6"/>
  <c r="AA26" i="6"/>
  <c r="AB26" i="6"/>
  <c r="AC26" i="6"/>
  <c r="AD26" i="6"/>
  <c r="AE26" i="6"/>
  <c r="AF26" i="6"/>
  <c r="AG26" i="6"/>
  <c r="AI26" i="6"/>
  <c r="AJ26" i="6"/>
  <c r="AK26" i="6"/>
  <c r="AL26" i="6"/>
  <c r="AM26" i="6"/>
  <c r="AN26" i="6"/>
  <c r="AO26" i="6"/>
  <c r="AP26" i="6"/>
  <c r="AQ26" i="6"/>
  <c r="AR26" i="6"/>
  <c r="AS26" i="6"/>
  <c r="AT26" i="6"/>
  <c r="AV26" i="6"/>
  <c r="AW26" i="6"/>
  <c r="AX26" i="6"/>
  <c r="AY26" i="6"/>
  <c r="AZ26" i="6"/>
  <c r="BA26" i="6"/>
  <c r="BB26" i="6"/>
  <c r="BC26" i="6"/>
  <c r="BD26" i="6"/>
  <c r="BE26" i="6"/>
  <c r="BF26" i="6"/>
  <c r="BG26" i="6"/>
  <c r="BI26" i="6"/>
  <c r="BJ26" i="6"/>
  <c r="BK26" i="6"/>
  <c r="BL26" i="6"/>
  <c r="BM26" i="6"/>
  <c r="BN26" i="6"/>
  <c r="BO26" i="6"/>
  <c r="BP26" i="6"/>
  <c r="BQ26" i="6"/>
  <c r="BR26" i="6"/>
  <c r="BS26" i="6"/>
  <c r="BT26" i="6"/>
  <c r="T26" i="6"/>
  <c r="J26" i="6"/>
  <c r="K26" i="6"/>
  <c r="L26" i="6"/>
  <c r="M26" i="6"/>
  <c r="N26" i="6"/>
  <c r="O26" i="6"/>
  <c r="P26" i="6"/>
  <c r="Q26" i="6"/>
  <c r="R26" i="6"/>
  <c r="S26" i="6"/>
  <c r="BZ29" i="4"/>
  <c r="BM29" i="4"/>
  <c r="AZ29" i="4"/>
  <c r="AM29" i="4"/>
  <c r="Z29" i="4"/>
  <c r="BZ28" i="4"/>
  <c r="BM28" i="4"/>
  <c r="AZ28" i="4"/>
  <c r="AM28" i="4"/>
  <c r="Z28" i="4"/>
  <c r="BZ27" i="4"/>
  <c r="BM27" i="4"/>
  <c r="AZ27" i="4"/>
  <c r="AM27" i="4"/>
  <c r="Z27" i="4"/>
  <c r="BZ26" i="4"/>
  <c r="BM26" i="4"/>
  <c r="AZ26" i="4"/>
  <c r="AM26" i="4"/>
  <c r="Z26" i="4"/>
  <c r="Z15" i="4"/>
  <c r="Z16" i="4"/>
  <c r="Z17" i="4"/>
  <c r="Z18" i="4"/>
  <c r="AM15" i="4"/>
  <c r="AM16" i="4"/>
  <c r="AM17" i="4"/>
  <c r="AM18" i="4"/>
  <c r="AZ15" i="4"/>
  <c r="AZ16" i="4"/>
  <c r="AZ17" i="4"/>
  <c r="AZ18" i="4"/>
  <c r="BM15" i="4"/>
  <c r="BM16" i="4"/>
  <c r="BM17" i="4"/>
  <c r="BM18" i="4"/>
  <c r="BZ15" i="4"/>
  <c r="BZ16" i="4"/>
  <c r="BZ17" i="4"/>
  <c r="BZ18" i="4"/>
  <c r="U17" i="6" l="1"/>
  <c r="U18" i="6"/>
  <c r="U19" i="6"/>
  <c r="U20" i="6"/>
  <c r="U21" i="6"/>
  <c r="U22" i="6"/>
  <c r="U23" i="6"/>
  <c r="AH17" i="6"/>
  <c r="AH18" i="6"/>
  <c r="AH19" i="6"/>
  <c r="AH20" i="6"/>
  <c r="AH21" i="6"/>
  <c r="AH22" i="6"/>
  <c r="AH23" i="6"/>
  <c r="AU17" i="6"/>
  <c r="AU18" i="6"/>
  <c r="AU19" i="6"/>
  <c r="AU20" i="6"/>
  <c r="AU21" i="6"/>
  <c r="AU22" i="6"/>
  <c r="AU23" i="6"/>
  <c r="BH17" i="6"/>
  <c r="BH18" i="6"/>
  <c r="BH19" i="6"/>
  <c r="BH20" i="6"/>
  <c r="BH21" i="6"/>
  <c r="BH22" i="6"/>
  <c r="BH23" i="6"/>
  <c r="BU17" i="6"/>
  <c r="BU18" i="6"/>
  <c r="BU19" i="6"/>
  <c r="BU20" i="6"/>
  <c r="BU21" i="6"/>
  <c r="BU22" i="6"/>
  <c r="BU23" i="6"/>
  <c r="I7" i="6"/>
  <c r="V8" i="6"/>
  <c r="W8" i="6"/>
  <c r="X8" i="6"/>
  <c r="Y8" i="6"/>
  <c r="Z8" i="6"/>
  <c r="AA8" i="6"/>
  <c r="AB8" i="6"/>
  <c r="AC8" i="6"/>
  <c r="AD8" i="6"/>
  <c r="AE8" i="6"/>
  <c r="AF8" i="6"/>
  <c r="AG8" i="6"/>
  <c r="AI8" i="6"/>
  <c r="AJ8" i="6"/>
  <c r="AK8" i="6"/>
  <c r="AL8" i="6"/>
  <c r="AM8" i="6"/>
  <c r="AN8" i="6"/>
  <c r="AO8" i="6"/>
  <c r="AP8" i="6"/>
  <c r="AQ8" i="6"/>
  <c r="AR8" i="6"/>
  <c r="AR9" i="6" s="1"/>
  <c r="AS8" i="6"/>
  <c r="AT8" i="6"/>
  <c r="AV8" i="6"/>
  <c r="AW8" i="6"/>
  <c r="AX8" i="6"/>
  <c r="AY8" i="6"/>
  <c r="AZ8" i="6"/>
  <c r="BA8" i="6"/>
  <c r="BB8" i="6"/>
  <c r="BC8" i="6"/>
  <c r="BD8" i="6"/>
  <c r="BE8" i="6"/>
  <c r="BF8" i="6"/>
  <c r="BG8" i="6"/>
  <c r="BH8" i="6"/>
  <c r="BI8" i="6"/>
  <c r="BJ8" i="6"/>
  <c r="BK8" i="6"/>
  <c r="BL8" i="6"/>
  <c r="BM8" i="6"/>
  <c r="BN8" i="6"/>
  <c r="BO8" i="6"/>
  <c r="BP8" i="6"/>
  <c r="BQ8" i="6"/>
  <c r="BR8" i="6"/>
  <c r="BS8" i="6"/>
  <c r="BT8" i="6"/>
  <c r="K8" i="6"/>
  <c r="L8" i="6"/>
  <c r="M8" i="6"/>
  <c r="N8" i="6"/>
  <c r="N9" i="6" s="1"/>
  <c r="O8" i="6"/>
  <c r="P8" i="6"/>
  <c r="Q8" i="6"/>
  <c r="R8" i="6"/>
  <c r="S8" i="6"/>
  <c r="T8" i="6"/>
  <c r="J8" i="6"/>
  <c r="I8" i="6"/>
  <c r="I26" i="6"/>
  <c r="S10" i="5"/>
  <c r="S11" i="5"/>
  <c r="S12" i="5"/>
  <c r="S13" i="5"/>
  <c r="AF10" i="5"/>
  <c r="AF11" i="5"/>
  <c r="AF12" i="5"/>
  <c r="AF13" i="5"/>
  <c r="AS10" i="5"/>
  <c r="AS11" i="5"/>
  <c r="AS12" i="5"/>
  <c r="AS13" i="5"/>
  <c r="BF10" i="5"/>
  <c r="BF11" i="5"/>
  <c r="BF12" i="5"/>
  <c r="BF13" i="5"/>
  <c r="BS10" i="5"/>
  <c r="BS11" i="5"/>
  <c r="BS12" i="5"/>
  <c r="BS13" i="5"/>
  <c r="H15" i="5"/>
  <c r="I15" i="5"/>
  <c r="J15" i="5"/>
  <c r="K15" i="5"/>
  <c r="L15" i="5"/>
  <c r="M15" i="5"/>
  <c r="N15" i="5"/>
  <c r="O15" i="5"/>
  <c r="P15" i="5"/>
  <c r="Q15" i="5"/>
  <c r="R15" i="5"/>
  <c r="T15" i="5"/>
  <c r="U15" i="5"/>
  <c r="V15" i="5"/>
  <c r="W15" i="5"/>
  <c r="X15" i="5"/>
  <c r="Y15" i="5"/>
  <c r="Z15" i="5"/>
  <c r="AA15" i="5"/>
  <c r="AB15" i="5"/>
  <c r="AC15" i="5"/>
  <c r="AD15" i="5"/>
  <c r="AE15" i="5"/>
  <c r="AG15" i="5"/>
  <c r="AH15" i="5"/>
  <c r="AI15" i="5"/>
  <c r="AJ15" i="5"/>
  <c r="AK15" i="5"/>
  <c r="AL15" i="5"/>
  <c r="AM15" i="5"/>
  <c r="AN15" i="5"/>
  <c r="AO15" i="5"/>
  <c r="AP15" i="5"/>
  <c r="AQ15" i="5"/>
  <c r="AR15" i="5"/>
  <c r="AT15" i="5"/>
  <c r="AU15" i="5"/>
  <c r="AV15" i="5"/>
  <c r="AW15" i="5"/>
  <c r="AX15" i="5"/>
  <c r="AY15" i="5"/>
  <c r="AZ15" i="5"/>
  <c r="BA15" i="5"/>
  <c r="BB15" i="5"/>
  <c r="BC15" i="5"/>
  <c r="BD15" i="5"/>
  <c r="BE15" i="5"/>
  <c r="BG15" i="5"/>
  <c r="BH15" i="5"/>
  <c r="BI15" i="5"/>
  <c r="BJ15" i="5"/>
  <c r="BK15" i="5"/>
  <c r="BL15" i="5"/>
  <c r="BM15" i="5"/>
  <c r="BN15" i="5"/>
  <c r="BO15" i="5"/>
  <c r="BP15" i="5"/>
  <c r="BQ15" i="5"/>
  <c r="BR15" i="5"/>
  <c r="G15" i="5"/>
  <c r="S7" i="5"/>
  <c r="U8" i="6" s="1"/>
  <c r="AF7" i="5"/>
  <c r="AS7" i="5"/>
  <c r="AU8" i="6" s="1"/>
  <c r="BF7" i="5"/>
  <c r="BS7" i="5"/>
  <c r="BU8" i="6" s="1"/>
  <c r="S8" i="5"/>
  <c r="AF8" i="5"/>
  <c r="AS8" i="5"/>
  <c r="BF8" i="5"/>
  <c r="BS8" i="5"/>
  <c r="S9" i="5"/>
  <c r="AF9" i="5"/>
  <c r="AS9" i="5"/>
  <c r="BF9" i="5"/>
  <c r="BS9" i="5"/>
  <c r="BZ8" i="4"/>
  <c r="BZ9" i="4"/>
  <c r="BZ10" i="4"/>
  <c r="BZ11" i="4"/>
  <c r="BZ12" i="4"/>
  <c r="BZ13" i="4"/>
  <c r="BZ14" i="4"/>
  <c r="BZ19" i="4"/>
  <c r="BZ20" i="4"/>
  <c r="BZ21" i="4"/>
  <c r="BZ22" i="4"/>
  <c r="BZ23" i="4"/>
  <c r="BZ24" i="4"/>
  <c r="BZ25" i="4"/>
  <c r="BZ7" i="4"/>
  <c r="BM8" i="4"/>
  <c r="BM9" i="4"/>
  <c r="BM10" i="4"/>
  <c r="BM11" i="4"/>
  <c r="BM12" i="4"/>
  <c r="BM13" i="4"/>
  <c r="BM14" i="4"/>
  <c r="BM19" i="4"/>
  <c r="BM20" i="4"/>
  <c r="BM21" i="4"/>
  <c r="BM22" i="4"/>
  <c r="BM23" i="4"/>
  <c r="BM24" i="4"/>
  <c r="BM25" i="4"/>
  <c r="BM7" i="4"/>
  <c r="AZ8" i="4"/>
  <c r="AZ9" i="4"/>
  <c r="AZ10" i="4"/>
  <c r="AZ11" i="4"/>
  <c r="AZ12" i="4"/>
  <c r="AZ13" i="4"/>
  <c r="AZ14" i="4"/>
  <c r="AZ19" i="4"/>
  <c r="AZ20" i="4"/>
  <c r="AZ21" i="4"/>
  <c r="AZ22" i="4"/>
  <c r="AZ23" i="4"/>
  <c r="AZ24" i="4"/>
  <c r="AZ25" i="4"/>
  <c r="AZ7" i="4"/>
  <c r="C2" i="7"/>
  <c r="C2" i="4" s="1"/>
  <c r="E7" i="5" l="1"/>
  <c r="H8" i="6" s="1"/>
  <c r="AH8" i="6"/>
  <c r="C2" i="6"/>
  <c r="BP9" i="6"/>
  <c r="T10" i="6"/>
  <c r="P9" i="6"/>
  <c r="BO10" i="6"/>
  <c r="AC9" i="6"/>
  <c r="V10" i="6"/>
  <c r="BB9" i="6"/>
  <c r="BQ9" i="6"/>
  <c r="AS9" i="6"/>
  <c r="BM9" i="6"/>
  <c r="BE10" i="6"/>
  <c r="AW10" i="6"/>
  <c r="AO9" i="6"/>
  <c r="AG10" i="6"/>
  <c r="Y9" i="6"/>
  <c r="Q9" i="6"/>
  <c r="BL10" i="6"/>
  <c r="AN10" i="6"/>
  <c r="AF10" i="6"/>
  <c r="BR9" i="6"/>
  <c r="AD10" i="6"/>
  <c r="AT9" i="6"/>
  <c r="BP10" i="6"/>
  <c r="O9" i="6"/>
  <c r="AE10" i="6"/>
  <c r="BC10" i="6"/>
  <c r="BQ10" i="6"/>
  <c r="BC9" i="6"/>
  <c r="BK10" i="6"/>
  <c r="AM9" i="6"/>
  <c r="AD9" i="6"/>
  <c r="BR10" i="6"/>
  <c r="BJ10" i="6"/>
  <c r="BB10" i="6"/>
  <c r="AL9" i="6"/>
  <c r="V9" i="6"/>
  <c r="AE9" i="6"/>
  <c r="AO10" i="6"/>
  <c r="BS10" i="6"/>
  <c r="W9" i="6"/>
  <c r="AV10" i="6"/>
  <c r="N10" i="6"/>
  <c r="AS10" i="6"/>
  <c r="J9" i="6"/>
  <c r="R9" i="6"/>
  <c r="O10" i="6"/>
  <c r="AT10" i="6"/>
  <c r="AA9" i="6"/>
  <c r="AI9" i="6"/>
  <c r="AQ9" i="6"/>
  <c r="AY9" i="6"/>
  <c r="BG9" i="6"/>
  <c r="BO9" i="6"/>
  <c r="Q10" i="6"/>
  <c r="L9" i="6"/>
  <c r="T9" i="6"/>
  <c r="AB9" i="6"/>
  <c r="AJ10" i="6"/>
  <c r="AR10" i="6"/>
  <c r="AZ10" i="6"/>
  <c r="BM10" i="6"/>
  <c r="M9" i="6"/>
  <c r="AC10" i="6"/>
  <c r="AK9" i="6"/>
  <c r="BA9" i="6"/>
  <c r="BI10" i="6"/>
  <c r="BN10" i="6"/>
  <c r="S9" i="6"/>
  <c r="AG9" i="6"/>
  <c r="AJ9" i="6"/>
  <c r="BI9" i="6"/>
  <c r="W10" i="6"/>
  <c r="AK10" i="6"/>
  <c r="Z10" i="6"/>
  <c r="AP10" i="6"/>
  <c r="BF10" i="6"/>
  <c r="K9" i="6"/>
  <c r="BS9" i="6"/>
  <c r="AW9" i="6"/>
  <c r="BJ9" i="6"/>
  <c r="L10" i="6"/>
  <c r="Y10" i="6"/>
  <c r="AL10" i="6"/>
  <c r="BE9" i="6"/>
  <c r="AZ9" i="6"/>
  <c r="BK9" i="6"/>
  <c r="M10" i="6"/>
  <c r="AB10" i="6"/>
  <c r="AM10" i="6"/>
  <c r="BA10" i="6"/>
  <c r="P10" i="6"/>
  <c r="X9" i="6"/>
  <c r="AF9" i="6"/>
  <c r="AN9" i="6"/>
  <c r="AV9" i="6"/>
  <c r="BD10" i="6"/>
  <c r="BL9" i="6"/>
  <c r="BT10" i="6"/>
  <c r="AX10" i="6"/>
  <c r="BG10" i="6"/>
  <c r="I10" i="6"/>
  <c r="AY10" i="6"/>
  <c r="X10" i="6"/>
  <c r="AQ10" i="6"/>
  <c r="BD9" i="6"/>
  <c r="BT9" i="6"/>
  <c r="AI10" i="6"/>
  <c r="AA10" i="6"/>
  <c r="Z9" i="6"/>
  <c r="AP9" i="6"/>
  <c r="AX9" i="6"/>
  <c r="BF9" i="6"/>
  <c r="BN9" i="6"/>
  <c r="J10" i="6"/>
  <c r="R10" i="6"/>
  <c r="K10" i="6"/>
  <c r="S10" i="6"/>
  <c r="I9" i="6"/>
  <c r="C2" i="5"/>
  <c r="C2" i="3"/>
  <c r="AM8" i="4"/>
  <c r="AM9" i="4"/>
  <c r="AM10" i="4"/>
  <c r="AM11" i="4"/>
  <c r="AM12" i="4"/>
  <c r="AM13" i="4"/>
  <c r="AM14" i="4"/>
  <c r="AM19" i="4"/>
  <c r="AM20" i="4"/>
  <c r="AM21" i="4"/>
  <c r="AM22" i="4"/>
  <c r="AM23" i="4"/>
  <c r="AM24" i="4"/>
  <c r="AM25" i="4"/>
  <c r="AM7" i="4"/>
  <c r="Z8" i="4"/>
  <c r="Z9" i="4"/>
  <c r="Z10" i="4"/>
  <c r="Z11" i="4"/>
  <c r="Z12" i="4"/>
  <c r="Z13" i="4"/>
  <c r="Z14" i="4"/>
  <c r="Z19" i="4"/>
  <c r="Z20" i="4"/>
  <c r="Z21" i="4"/>
  <c r="Z22" i="4"/>
  <c r="Z23" i="4"/>
  <c r="Z24" i="4"/>
  <c r="Z25" i="4"/>
  <c r="Z7" i="4"/>
  <c r="E15" i="5" l="1"/>
  <c r="BU24" i="6"/>
  <c r="BH24" i="6"/>
  <c r="AU24" i="6"/>
  <c r="AH24" i="6"/>
  <c r="U24" i="6"/>
  <c r="BU16" i="6"/>
  <c r="BH16" i="6"/>
  <c r="AU16" i="6"/>
  <c r="AH16" i="6"/>
  <c r="U16" i="6"/>
  <c r="BU15" i="6"/>
  <c r="BH15" i="6"/>
  <c r="AU15" i="6"/>
  <c r="AH15" i="6"/>
  <c r="U15" i="6"/>
  <c r="BU14" i="6"/>
  <c r="BH14" i="6"/>
  <c r="AU14" i="6"/>
  <c r="AH14" i="6"/>
  <c r="U14" i="6"/>
  <c r="G14" i="6" s="1"/>
  <c r="BS14" i="5"/>
  <c r="BS15" i="5" s="1"/>
  <c r="BF14" i="5"/>
  <c r="BF15" i="5" s="1"/>
  <c r="AS14" i="5"/>
  <c r="AS15" i="5" s="1"/>
  <c r="AF14" i="5"/>
  <c r="AF15" i="5" s="1"/>
  <c r="S14" i="5"/>
  <c r="S15" i="5" s="1"/>
  <c r="BT57" i="1"/>
  <c r="BS57" i="1"/>
  <c r="BR57" i="1"/>
  <c r="BQ57" i="1"/>
  <c r="BP57" i="1"/>
  <c r="BO57" i="1"/>
  <c r="BN57" i="1"/>
  <c r="BM57" i="1"/>
  <c r="BL57" i="1"/>
  <c r="BK57" i="1"/>
  <c r="BJ57" i="1"/>
  <c r="BI57" i="1"/>
  <c r="BF57" i="1"/>
  <c r="BE57" i="1"/>
  <c r="BD57" i="1"/>
  <c r="BC57" i="1"/>
  <c r="BB57" i="1"/>
  <c r="BA57" i="1"/>
  <c r="AZ57" i="1"/>
  <c r="AY57" i="1"/>
  <c r="AX57" i="1"/>
  <c r="AW57" i="1"/>
  <c r="AV57" i="1"/>
  <c r="AU57" i="1"/>
  <c r="BU56" i="1"/>
  <c r="BG56" i="1"/>
  <c r="BU55" i="1"/>
  <c r="BG55" i="1"/>
  <c r="BU54" i="1"/>
  <c r="BG54" i="1"/>
  <c r="BU53" i="1"/>
  <c r="BG53" i="1"/>
  <c r="BT50" i="1"/>
  <c r="BS50" i="1"/>
  <c r="BR50" i="1"/>
  <c r="BQ50" i="1"/>
  <c r="BP50" i="1"/>
  <c r="BO50" i="1"/>
  <c r="BO61" i="1" s="1"/>
  <c r="BN50" i="1"/>
  <c r="BM50" i="1"/>
  <c r="BL50" i="1"/>
  <c r="BK50" i="1"/>
  <c r="BJ50" i="1"/>
  <c r="BI50" i="1"/>
  <c r="BF50" i="1"/>
  <c r="BF61" i="1" s="1"/>
  <c r="BE50" i="1"/>
  <c r="BD50" i="1"/>
  <c r="BC50" i="1"/>
  <c r="BB50" i="1"/>
  <c r="BA50" i="1"/>
  <c r="AZ50" i="1"/>
  <c r="AY50" i="1"/>
  <c r="AX50" i="1"/>
  <c r="AW50" i="1"/>
  <c r="AV50" i="1"/>
  <c r="AU50" i="1"/>
  <c r="BU49" i="1"/>
  <c r="BG49" i="1"/>
  <c r="BU48" i="1"/>
  <c r="BG48" i="1"/>
  <c r="BU47" i="1"/>
  <c r="BG47" i="1"/>
  <c r="BU46" i="1"/>
  <c r="BG46" i="1"/>
  <c r="BU41" i="1"/>
  <c r="BG41" i="1"/>
  <c r="BU40" i="1"/>
  <c r="BG40" i="1"/>
  <c r="BU39" i="1"/>
  <c r="BG39" i="1"/>
  <c r="BU35" i="1"/>
  <c r="BG35" i="1"/>
  <c r="BU34" i="1"/>
  <c r="BG34" i="1"/>
  <c r="BU33" i="1"/>
  <c r="BG33" i="1"/>
  <c r="BU32" i="1"/>
  <c r="BG32" i="1"/>
  <c r="AS56" i="1"/>
  <c r="AS49" i="1"/>
  <c r="AR57" i="1"/>
  <c r="AQ57" i="1"/>
  <c r="AP57" i="1"/>
  <c r="AO57" i="1"/>
  <c r="AN57" i="1"/>
  <c r="AM57" i="1"/>
  <c r="AL57" i="1"/>
  <c r="AK57" i="1"/>
  <c r="AJ57" i="1"/>
  <c r="AI57" i="1"/>
  <c r="AH57" i="1"/>
  <c r="AR50" i="1"/>
  <c r="AQ50" i="1"/>
  <c r="AP50" i="1"/>
  <c r="AO50" i="1"/>
  <c r="AN50" i="1"/>
  <c r="AM50" i="1"/>
  <c r="AL50" i="1"/>
  <c r="AK50" i="1"/>
  <c r="AJ50" i="1"/>
  <c r="AI50" i="1"/>
  <c r="AH50" i="1"/>
  <c r="AG57" i="1"/>
  <c r="AG50" i="1"/>
  <c r="AE56" i="1"/>
  <c r="AE49" i="1"/>
  <c r="AD50" i="1"/>
  <c r="AC50" i="1"/>
  <c r="AB50" i="1"/>
  <c r="AA50" i="1"/>
  <c r="Z50" i="1"/>
  <c r="Y50" i="1"/>
  <c r="X50" i="1"/>
  <c r="W50" i="1"/>
  <c r="V50" i="1"/>
  <c r="U50" i="1"/>
  <c r="T50" i="1"/>
  <c r="AD57" i="1"/>
  <c r="AC57" i="1"/>
  <c r="AB57" i="1"/>
  <c r="AA57" i="1"/>
  <c r="Z57" i="1"/>
  <c r="Y57" i="1"/>
  <c r="X57" i="1"/>
  <c r="W57" i="1"/>
  <c r="V57" i="1"/>
  <c r="U57" i="1"/>
  <c r="T57" i="1"/>
  <c r="S57" i="1"/>
  <c r="S50" i="1"/>
  <c r="P57" i="1"/>
  <c r="O57" i="1"/>
  <c r="N57" i="1"/>
  <c r="M57" i="1"/>
  <c r="L57" i="1"/>
  <c r="K57" i="1"/>
  <c r="K61" i="1" s="1"/>
  <c r="J57" i="1"/>
  <c r="I57" i="1"/>
  <c r="H57" i="1"/>
  <c r="G57" i="1"/>
  <c r="F57" i="1"/>
  <c r="E57" i="1"/>
  <c r="Q56" i="1"/>
  <c r="Q49" i="1"/>
  <c r="P50" i="1"/>
  <c r="O50" i="1"/>
  <c r="N50" i="1"/>
  <c r="M50" i="1"/>
  <c r="L50" i="1"/>
  <c r="K50" i="1"/>
  <c r="J50" i="1"/>
  <c r="I50" i="1"/>
  <c r="H50" i="1"/>
  <c r="G50" i="1"/>
  <c r="F50" i="1"/>
  <c r="E50" i="1"/>
  <c r="AS55" i="1"/>
  <c r="AE55" i="1"/>
  <c r="Q55" i="1"/>
  <c r="AS54" i="1"/>
  <c r="AE54" i="1"/>
  <c r="Q54" i="1"/>
  <c r="AS53" i="1"/>
  <c r="AE53" i="1"/>
  <c r="Q53" i="1"/>
  <c r="AS48" i="1"/>
  <c r="AE48" i="1"/>
  <c r="Q48" i="1"/>
  <c r="AS47" i="1"/>
  <c r="AE47" i="1"/>
  <c r="Q47" i="1"/>
  <c r="AS46" i="1"/>
  <c r="AE46" i="1"/>
  <c r="Q46" i="1"/>
  <c r="AS41" i="1"/>
  <c r="AE41" i="1"/>
  <c r="Q41" i="1"/>
  <c r="AS40" i="1"/>
  <c r="AE40" i="1"/>
  <c r="Q40" i="1"/>
  <c r="AS39" i="1"/>
  <c r="AE39" i="1"/>
  <c r="Q39" i="1"/>
  <c r="AS35" i="1"/>
  <c r="AS34" i="1"/>
  <c r="AS33" i="1"/>
  <c r="AS32" i="1"/>
  <c r="AE35" i="1"/>
  <c r="AE34" i="1"/>
  <c r="AE33" i="1"/>
  <c r="AE32" i="1"/>
  <c r="Q35" i="1"/>
  <c r="Q34" i="1"/>
  <c r="Q33" i="1"/>
  <c r="Q32" i="1"/>
  <c r="H7" i="6" l="1"/>
  <c r="G26" i="6"/>
  <c r="BH7" i="6"/>
  <c r="BH26" i="6"/>
  <c r="U26" i="6"/>
  <c r="U7" i="6"/>
  <c r="BU7" i="6"/>
  <c r="BU26" i="6"/>
  <c r="AU7" i="6"/>
  <c r="AU26" i="6"/>
  <c r="AH7" i="6"/>
  <c r="AH26" i="6"/>
  <c r="U9" i="6"/>
  <c r="U10" i="6"/>
  <c r="AX61" i="1"/>
  <c r="J61" i="1"/>
  <c r="X61" i="1"/>
  <c r="AY61" i="1"/>
  <c r="BI61" i="1"/>
  <c r="AH61" i="1"/>
  <c r="AP61" i="1"/>
  <c r="Z61" i="1"/>
  <c r="AL61" i="1"/>
  <c r="F61" i="1"/>
  <c r="N61" i="1"/>
  <c r="W61" i="1"/>
  <c r="AN61" i="1"/>
  <c r="BQ61" i="1"/>
  <c r="AK61" i="1"/>
  <c r="G61" i="1"/>
  <c r="O61" i="1"/>
  <c r="AO61" i="1"/>
  <c r="BP61" i="1"/>
  <c r="I61" i="1"/>
  <c r="AZ61" i="1"/>
  <c r="BJ61" i="1"/>
  <c r="AA61" i="1"/>
  <c r="AM61" i="1"/>
  <c r="BA61" i="1"/>
  <c r="BK61" i="1"/>
  <c r="BS61" i="1"/>
  <c r="H61" i="1"/>
  <c r="P61" i="1"/>
  <c r="Y61" i="1"/>
  <c r="BU50" i="1"/>
  <c r="BB61" i="1"/>
  <c r="BL61" i="1"/>
  <c r="BT61" i="1"/>
  <c r="AI61" i="1"/>
  <c r="AQ61" i="1"/>
  <c r="BG50" i="1"/>
  <c r="BG57" i="1"/>
  <c r="BC61" i="1"/>
  <c r="BM61" i="1"/>
  <c r="BR61" i="1"/>
  <c r="AJ61" i="1"/>
  <c r="BD61" i="1"/>
  <c r="T61" i="1"/>
  <c r="AW61" i="1"/>
  <c r="BE61" i="1"/>
  <c r="L61" i="1"/>
  <c r="U61" i="1"/>
  <c r="AC61" i="1"/>
  <c r="AG61" i="1"/>
  <c r="S61" i="1"/>
  <c r="AR61" i="1"/>
  <c r="AV61" i="1"/>
  <c r="BN61" i="1"/>
  <c r="AB61" i="1"/>
  <c r="E61" i="1"/>
  <c r="M61" i="1"/>
  <c r="V61" i="1"/>
  <c r="AD61" i="1"/>
  <c r="BU57" i="1"/>
  <c r="AU61" i="1"/>
  <c r="Q50" i="1"/>
  <c r="AS50" i="1"/>
  <c r="AE57" i="1"/>
  <c r="AS57" i="1"/>
  <c r="AE50" i="1"/>
  <c r="Q57" i="1"/>
  <c r="H10" i="6" l="1"/>
  <c r="H9" i="6"/>
  <c r="AU9" i="6"/>
  <c r="AU10" i="6"/>
  <c r="AH9" i="6"/>
  <c r="AH10" i="6"/>
  <c r="BU9" i="6"/>
  <c r="BU10" i="6"/>
  <c r="BH9" i="6"/>
  <c r="BH10" i="6"/>
  <c r="AS61" i="1"/>
  <c r="Q61" i="1"/>
  <c r="BU61" i="1"/>
  <c r="AE61" i="1"/>
  <c r="BG61" i="1"/>
</calcChain>
</file>

<file path=xl/sharedStrings.xml><?xml version="1.0" encoding="utf-8"?>
<sst xmlns="http://schemas.openxmlformats.org/spreadsheetml/2006/main" count="648" uniqueCount="375">
  <si>
    <t>SavingType</t>
  </si>
  <si>
    <t>MilestoneType</t>
  </si>
  <si>
    <t>BenefitType</t>
  </si>
  <si>
    <t>BenefitCode</t>
  </si>
  <si>
    <t>BenefitClassification</t>
  </si>
  <si>
    <t>Recurrent - cash releasing</t>
  </si>
  <si>
    <t>Payment Gateway</t>
  </si>
  <si>
    <t>Performance</t>
  </si>
  <si>
    <t>PB</t>
  </si>
  <si>
    <t>Cash releasing</t>
  </si>
  <si>
    <t>Recurrent - non cash releasing</t>
  </si>
  <si>
    <t>Stage Gate</t>
  </si>
  <si>
    <t>Outcomes</t>
  </si>
  <si>
    <t>OB</t>
  </si>
  <si>
    <t>Non Cash releasing</t>
  </si>
  <si>
    <t>Non-recurrent - cash releasing</t>
  </si>
  <si>
    <t>Milestone</t>
  </si>
  <si>
    <t>Health Inequality</t>
  </si>
  <si>
    <t>HI</t>
  </si>
  <si>
    <t>Quantifiable</t>
  </si>
  <si>
    <t>Non-recurrent - non cash releasing</t>
  </si>
  <si>
    <t>Key Decision</t>
  </si>
  <si>
    <t>Activity</t>
  </si>
  <si>
    <t>Qualitative</t>
  </si>
  <si>
    <t>Task</t>
  </si>
  <si>
    <t>Capacity</t>
  </si>
  <si>
    <t>CB</t>
  </si>
  <si>
    <t>Occurrence</t>
  </si>
  <si>
    <t>Recurrent</t>
  </si>
  <si>
    <t>DataReported</t>
  </si>
  <si>
    <t>Non-recurrent</t>
  </si>
  <si>
    <t>Captured and Reported</t>
  </si>
  <si>
    <t>Captured only</t>
  </si>
  <si>
    <t>Not yet available</t>
  </si>
  <si>
    <t>InvestmentCategory</t>
  </si>
  <si>
    <t>SavingCategory</t>
  </si>
  <si>
    <t>Workforce</t>
  </si>
  <si>
    <t>Staffing costs, new roles, training, development, recruitment, retention.</t>
  </si>
  <si>
    <t>Digital / Technology</t>
  </si>
  <si>
    <t>Systems, software, hardware, EPR upgrades, cybersecurity, analytics tools.</t>
  </si>
  <si>
    <t>Estates / Facilities</t>
  </si>
  <si>
    <t>Infrastructure</t>
  </si>
  <si>
    <t>Networks, servers, data centres, connectivity upgrades, IT foundations.</t>
  </si>
  <si>
    <t>Clinical Consumables/Equipment</t>
  </si>
  <si>
    <t>Buildings, refurbishments, clinical space changes, accessibility, equipment that forms part of the estate.</t>
  </si>
  <si>
    <t>Non-Clinical Consumables/Equipment</t>
  </si>
  <si>
    <t>Medical Equipment</t>
  </si>
  <si>
    <t xml:space="preserve">Clinical devices, pharmaceuticals, prosthesis, surgical consumables </t>
  </si>
  <si>
    <t>3rd Party Contracts</t>
  </si>
  <si>
    <t>Non-Medical Equipment</t>
  </si>
  <si>
    <t>Office equipment and conumables, computers, hand held tech</t>
  </si>
  <si>
    <t>Additional Income</t>
  </si>
  <si>
    <t>3rd Party Contracts/Sub-Contracts</t>
  </si>
  <si>
    <t xml:space="preserve">Payments to alternative suppliers of services, payments to sub-contracters, Payments to Professional Services </t>
  </si>
  <si>
    <t>Transformation Funding Application Title</t>
  </si>
  <si>
    <t xml:space="preserve">Title of application </t>
  </si>
  <si>
    <t xml:space="preserve">Application reference </t>
  </si>
  <si>
    <t>PMO to complete</t>
  </si>
  <si>
    <t>Applicant</t>
  </si>
  <si>
    <t>Name and organisation</t>
  </si>
  <si>
    <t>Sponsor</t>
  </si>
  <si>
    <t>Senior Commissioning Lead</t>
  </si>
  <si>
    <t>Milestones Reference</t>
  </si>
  <si>
    <t>Key milestones</t>
  </si>
  <si>
    <t>Milestone owner</t>
  </si>
  <si>
    <t>Original milestone date</t>
  </si>
  <si>
    <t>M01</t>
  </si>
  <si>
    <t>Describe key milestones required to deliver benefits (e.g. service go live date)</t>
  </si>
  <si>
    <t>M02</t>
  </si>
  <si>
    <t>M03</t>
  </si>
  <si>
    <t>M04</t>
  </si>
  <si>
    <t>M05</t>
  </si>
  <si>
    <t>M06</t>
  </si>
  <si>
    <t>Performance Benefits Reference</t>
  </si>
  <si>
    <t xml:space="preserve">Performance Improvement Description </t>
  </si>
  <si>
    <t>Performance Metric</t>
  </si>
  <si>
    <t>Baseline</t>
  </si>
  <si>
    <t>PB01</t>
  </si>
  <si>
    <t xml:space="preserve">Describe performance improvement delivered by the transformation </t>
  </si>
  <si>
    <t>PB02</t>
  </si>
  <si>
    <t>PB03</t>
  </si>
  <si>
    <t>Outcomes Benefits Reference</t>
  </si>
  <si>
    <t xml:space="preserve">Outcome Improvement Description </t>
  </si>
  <si>
    <t>Outcome Metric</t>
  </si>
  <si>
    <t>OB01</t>
  </si>
  <si>
    <t xml:space="preserve">Describe outcomes improvement delivered by the transformation </t>
  </si>
  <si>
    <t>OB02</t>
  </si>
  <si>
    <t>OB03</t>
  </si>
  <si>
    <t>Activity Benefits Reference</t>
  </si>
  <si>
    <t xml:space="preserve">Activity Improvement Description </t>
  </si>
  <si>
    <t>Activity Metrics</t>
  </si>
  <si>
    <t>Total</t>
  </si>
  <si>
    <t>A01</t>
  </si>
  <si>
    <t xml:space="preserve">Detail activity changes delivered by the transformation, including where activity decreases, increases, or both (as in a shift). </t>
  </si>
  <si>
    <t>A02</t>
  </si>
  <si>
    <t>A03</t>
  </si>
  <si>
    <t>Capacity Benefits Reference</t>
  </si>
  <si>
    <t xml:space="preserve">Capacity Improvement Description </t>
  </si>
  <si>
    <t>Capacity Metrics</t>
  </si>
  <si>
    <t>CB01</t>
  </si>
  <si>
    <t>Detail capacity changes delivered by the transformation, including whether capacity increases, decreases, or both (as in a shift). Capacity may include workforce, physical or virtual capacity</t>
  </si>
  <si>
    <t>CB02</t>
  </si>
  <si>
    <t>CB03</t>
  </si>
  <si>
    <t>Investments</t>
  </si>
  <si>
    <t>Costs (£000)</t>
  </si>
  <si>
    <t>Costs Type (pick from list)</t>
  </si>
  <si>
    <t xml:space="preserve">Describe investments required to deliver the transformation </t>
  </si>
  <si>
    <t>TOTAL</t>
  </si>
  <si>
    <t>Gross Savings</t>
  </si>
  <si>
    <t>Gross Savings (£000)</t>
  </si>
  <si>
    <t>Savings Type (pick from list)</t>
  </si>
  <si>
    <t>Detail savings expected from the scheme including savings logic and beneficiary</t>
  </si>
  <si>
    <t>Net Savings</t>
  </si>
  <si>
    <t>Net Savings (£000)</t>
  </si>
  <si>
    <t>Summary</t>
  </si>
  <si>
    <t>Application Information</t>
  </si>
  <si>
    <t>Details</t>
  </si>
  <si>
    <t>Milestones</t>
  </si>
  <si>
    <t>Milestone Type</t>
  </si>
  <si>
    <t>Benefits</t>
  </si>
  <si>
    <t>Benefits Reference</t>
  </si>
  <si>
    <t>Benefit Category</t>
  </si>
  <si>
    <t>Benefits Classification</t>
  </si>
  <si>
    <t xml:space="preserve">Improvement Description </t>
  </si>
  <si>
    <t>Improvement Metric</t>
  </si>
  <si>
    <t>Is data captured and reported</t>
  </si>
  <si>
    <t>Data Source</t>
  </si>
  <si>
    <t>Baseline Measure</t>
  </si>
  <si>
    <t>Baseline Date</t>
  </si>
  <si>
    <t>Target Measure</t>
  </si>
  <si>
    <t>Target Date</t>
  </si>
  <si>
    <t>Apr-26</t>
  </si>
  <si>
    <t>May-26</t>
  </si>
  <si>
    <t>Jun-26</t>
  </si>
  <si>
    <t>Jul-26</t>
  </si>
  <si>
    <t>Aug-26</t>
  </si>
  <si>
    <t>Sep-26</t>
  </si>
  <si>
    <t>Oct-26</t>
  </si>
  <si>
    <t>Nov-26</t>
  </si>
  <si>
    <t>Dec-26</t>
  </si>
  <si>
    <t>Jan-27</t>
  </si>
  <si>
    <t>Feb-27</t>
  </si>
  <si>
    <t>Mar-27</t>
  </si>
  <si>
    <t>26/27 Total</t>
  </si>
  <si>
    <t>Apr-27</t>
  </si>
  <si>
    <t>May-27</t>
  </si>
  <si>
    <t>Jun-27</t>
  </si>
  <si>
    <t>Jul-27</t>
  </si>
  <si>
    <t>Aug-27</t>
  </si>
  <si>
    <t>Sep-27</t>
  </si>
  <si>
    <t>Oct-27</t>
  </si>
  <si>
    <t>Nov-27</t>
  </si>
  <si>
    <t>Dec-27</t>
  </si>
  <si>
    <t>Jan-28</t>
  </si>
  <si>
    <t>Feb-28</t>
  </si>
  <si>
    <t>Mar-28</t>
  </si>
  <si>
    <t>27/28 Total</t>
  </si>
  <si>
    <t>Apr-28</t>
  </si>
  <si>
    <t>May-28</t>
  </si>
  <si>
    <t>Jun-28</t>
  </si>
  <si>
    <t>Jul-28</t>
  </si>
  <si>
    <t>Aug-28</t>
  </si>
  <si>
    <t>Sep-28</t>
  </si>
  <si>
    <t>Oct-28</t>
  </si>
  <si>
    <t>Nov-28</t>
  </si>
  <si>
    <t>Dec-28</t>
  </si>
  <si>
    <t>Jan-29</t>
  </si>
  <si>
    <t>Feb-29</t>
  </si>
  <si>
    <t>Mar-29</t>
  </si>
  <si>
    <t>28/29 Total</t>
  </si>
  <si>
    <t>Apr-29</t>
  </si>
  <si>
    <t>May-29</t>
  </si>
  <si>
    <t>Jun-29</t>
  </si>
  <si>
    <t>Jul-29</t>
  </si>
  <si>
    <t>Aug-29</t>
  </si>
  <si>
    <t>Sep-29</t>
  </si>
  <si>
    <t>Oct-29</t>
  </si>
  <si>
    <t>Nov-29</t>
  </si>
  <si>
    <t>Dec-29</t>
  </si>
  <si>
    <t>Jan-30</t>
  </si>
  <si>
    <t>Feb-30</t>
  </si>
  <si>
    <t>Mar-30</t>
  </si>
  <si>
    <t>29/30 Total</t>
  </si>
  <si>
    <t>Apr-30</t>
  </si>
  <si>
    <t>May-30</t>
  </si>
  <si>
    <t>Jun-30</t>
  </si>
  <si>
    <t>Jul-30</t>
  </si>
  <si>
    <t>Aug-30</t>
  </si>
  <si>
    <t>Sep-30</t>
  </si>
  <si>
    <t>Oct-30</t>
  </si>
  <si>
    <t>Nov-30</t>
  </si>
  <si>
    <t>Dec-30</t>
  </si>
  <si>
    <t>Jan-31</t>
  </si>
  <si>
    <t>Feb-31</t>
  </si>
  <si>
    <t>Mar-31</t>
  </si>
  <si>
    <t>30/31 Total</t>
  </si>
  <si>
    <t>Describe outcomes improvement delivered by the transformation. Provide details of the population cohorts that will benefit from this transformation and the place / geography that will be covered.</t>
  </si>
  <si>
    <t xml:space="preserve">Detail activity changes delivered by the transformation, including where activity decreases, increases or is transferred. Show clearly the impacts of the 3 core shifts within the NHS 10 year plan. Metrics are required to demonstrate a shift of activity from acute to the community, treatment to prevention and analogue to digital. </t>
  </si>
  <si>
    <t>Investment</t>
  </si>
  <si>
    <t>Investment Category</t>
  </si>
  <si>
    <t>Investment Description/Justification</t>
  </si>
  <si>
    <t>Investment Value (£000)</t>
  </si>
  <si>
    <t>Describe the investments required to deliver the transformation initiative</t>
  </si>
  <si>
    <t>Savings</t>
  </si>
  <si>
    <t>#</t>
  </si>
  <si>
    <t>Total (£000)</t>
  </si>
  <si>
    <t>RoI</t>
  </si>
  <si>
    <t>Savings Category</t>
  </si>
  <si>
    <t>Savings Description</t>
  </si>
  <si>
    <t>Savings Action</t>
  </si>
  <si>
    <t>Use a different row for each different savings category affected</t>
  </si>
  <si>
    <t>N/A</t>
  </si>
  <si>
    <t>Other</t>
  </si>
  <si>
    <t>OTB</t>
  </si>
  <si>
    <t>WTE Reduction</t>
  </si>
  <si>
    <t>Where applicable, detail the WTE reduction that will deliver the saving, this should be profiled in the Economic Case.</t>
  </si>
  <si>
    <t>DLN Transformation Fund</t>
  </si>
  <si>
    <t>AB</t>
  </si>
  <si>
    <t>e.g. Dashboard</t>
  </si>
  <si>
    <t>Operational Plan:</t>
  </si>
  <si>
    <t>Metric ID</t>
  </si>
  <si>
    <t>ICB Input Measures</t>
  </si>
  <si>
    <t>Outpatients</t>
  </si>
  <si>
    <t>E.M.8</t>
  </si>
  <si>
    <t>Consultant-led first outpatient attendances (Spec acute)</t>
  </si>
  <si>
    <t>E.M.9</t>
  </si>
  <si>
    <t>Consultant-led follow-up outpatient attendances (Spec acute)</t>
  </si>
  <si>
    <t>E.M.9b</t>
  </si>
  <si>
    <t>Consultant-led follow-up outpatient attendances of which outpatient procedures</t>
  </si>
  <si>
    <t>EM.42</t>
  </si>
  <si>
    <t>Time to first attendance, waiting for first event and of those waiting less than 18 weeks</t>
  </si>
  <si>
    <t>Elective</t>
  </si>
  <si>
    <t>E.M.10a</t>
  </si>
  <si>
    <t>Elective day case spells</t>
  </si>
  <si>
    <t>E.M.10b</t>
  </si>
  <si>
    <t>Elective ordinary spells</t>
  </si>
  <si>
    <t>Em18</t>
  </si>
  <si>
    <t>RTT - Admitted pathways</t>
  </si>
  <si>
    <t>Em19</t>
  </si>
  <si>
    <t>RTT - Non admitted pathways</t>
  </si>
  <si>
    <t>Em20</t>
  </si>
  <si>
    <t>RTT - Clock Starts</t>
  </si>
  <si>
    <t>RTT</t>
  </si>
  <si>
    <t xml:space="preserve">Eb 18 </t>
  </si>
  <si>
    <t xml:space="preserve">RTT - Incomplete pathways, 52+ </t>
  </si>
  <si>
    <t>Eb 40</t>
  </si>
  <si>
    <t>RTT - Incomplete pathways, &lt;18wks</t>
  </si>
  <si>
    <t>Eb 3a</t>
  </si>
  <si>
    <t>RTT Waiting list</t>
  </si>
  <si>
    <t>Cancer</t>
  </si>
  <si>
    <t>E.B.27</t>
  </si>
  <si>
    <t>Cancer 28 day waits (faster diagnosis standard)</t>
  </si>
  <si>
    <t>E.B.35</t>
  </si>
  <si>
    <t>Cancer 62-day pathways. Total patients seen, and of which those seen within 62 days</t>
  </si>
  <si>
    <t>E.B.38</t>
  </si>
  <si>
    <t>Cancer 31 day performance</t>
  </si>
  <si>
    <t>Diag</t>
  </si>
  <si>
    <t>E.B.26X</t>
  </si>
  <si>
    <t>The number of diagnostic tests or procedures carried out in the period</t>
  </si>
  <si>
    <t>E.B.28X</t>
  </si>
  <si>
    <t>Diagnostics 6ww</t>
  </si>
  <si>
    <t>UEC</t>
  </si>
  <si>
    <t>E.T.8</t>
  </si>
  <si>
    <t>Urgent community response (UCR) referrals</t>
  </si>
  <si>
    <t>Beds</t>
  </si>
  <si>
    <t>E.T.5</t>
  </si>
  <si>
    <t>Virtual ward capacity</t>
  </si>
  <si>
    <t>Discharges</t>
  </si>
  <si>
    <t>E.M.43</t>
  </si>
  <si>
    <t>Percentage of commissioned intermediate care beds within the service which are occupied by people with no criteria to reside</t>
  </si>
  <si>
    <t>Mental Health</t>
  </si>
  <si>
    <t>E.A.4a</t>
  </si>
  <si>
    <t>Access to NHS talking therapies for anxiety and depression - reliable recovery</t>
  </si>
  <si>
    <t>E.A.4b</t>
  </si>
  <si>
    <t>Access to NHS talking therapies for anxiety and depression - reliable improvement</t>
  </si>
  <si>
    <t>E.A.5</t>
  </si>
  <si>
    <t>Active inappropriate adult acute mental health out of areas placements (OAPs)</t>
  </si>
  <si>
    <t>E.A.6</t>
  </si>
  <si>
    <t>Access to Mental Health Support Teams Mental Teams in schools and colleges</t>
  </si>
  <si>
    <t>E.A.7</t>
  </si>
  <si>
    <t>Number of Children and Young People with mental health waits over 104 weeks (help-based clock stop) at the end of the reporting period</t>
  </si>
  <si>
    <t>E.H.38</t>
  </si>
  <si>
    <t>Average Length of Stay for Patients in Adult Acute and PICU Mental Health Beds</t>
  </si>
  <si>
    <t>E.H.39</t>
  </si>
  <si>
    <t>Average Length of Stay for Patients in Older Adult Acute Mental Health Beds</t>
  </si>
  <si>
    <t>E.H.15</t>
  </si>
  <si>
    <t>People Accessing Specialist Community Perinatal Mental Health Services</t>
  </si>
  <si>
    <t>E.H.9</t>
  </si>
  <si>
    <t>Access to Children and Young People Mental Health Services</t>
  </si>
  <si>
    <t>E.H.34</t>
  </si>
  <si>
    <t>Individual Placement Support Access</t>
  </si>
  <si>
    <t>Primary Care</t>
  </si>
  <si>
    <t>E.D.19</t>
  </si>
  <si>
    <t>Appointments in General Practice</t>
  </si>
  <si>
    <t>E.D.26</t>
  </si>
  <si>
    <t>Pharmacy first consultations</t>
  </si>
  <si>
    <t>E.D.27</t>
  </si>
  <si>
    <t>Percentage of clinically urgent appointments seen on the same day</t>
  </si>
  <si>
    <t>E.D.28</t>
  </si>
  <si>
    <t>Urgent dental appointments</t>
  </si>
  <si>
    <t>Community Services</t>
  </si>
  <si>
    <t>E.T.9</t>
  </si>
  <si>
    <t>Community services waiting list over 52 weeks</t>
  </si>
  <si>
    <t>E.T.9a</t>
  </si>
  <si>
    <t>Number of people on waiting lists for CYP services who are waiting over 52 weeks</t>
  </si>
  <si>
    <t>E.T.9b</t>
  </si>
  <si>
    <t>Number of people on waiting lists for adult services who are waiting over 52 weeks</t>
  </si>
  <si>
    <t>E.T.12</t>
  </si>
  <si>
    <t>Percentage of people on waiting list for Community Services per system who are waiting 18 weeks or less as a proportion of the entire waiting list</t>
  </si>
  <si>
    <t>E.T.12a</t>
  </si>
  <si>
    <t>Percentage of people on waiting lists for Adult Community Services per system who are waiting 18 weeks or less as proportion of entire Adult waiting list</t>
  </si>
  <si>
    <t>E.T.12b</t>
  </si>
  <si>
    <t>Percentage of people on waiting lists for CYP Community Services per system who are waiting 18 weeks or less as proportion of entire CYP waiting list</t>
  </si>
  <si>
    <t>E.T.13</t>
  </si>
  <si>
    <t>Attended Community Care Contacts</t>
  </si>
  <si>
    <t>LD&amp;A</t>
  </si>
  <si>
    <t>E.H.32</t>
  </si>
  <si>
    <t>Reliance on mental health inpatient care for adults with a learning disability</t>
  </si>
  <si>
    <t>E.H.33</t>
  </si>
  <si>
    <t>Reliance on mental health inpatient care for autistic adults</t>
  </si>
  <si>
    <t>E.K.1c</t>
  </si>
  <si>
    <t>Reliance on inpatient care for people with a learning disability and/or autism - Care for children</t>
  </si>
  <si>
    <t>E.K.4</t>
  </si>
  <si>
    <t>LD&amp;A Long Lengths of Stay</t>
  </si>
  <si>
    <t>E.K.5A</t>
  </si>
  <si>
    <t xml:space="preserve">Number of adults with a learning disability and autistic adults admitted to mental health hospital </t>
  </si>
  <si>
    <t>E.K.5b</t>
  </si>
  <si>
    <t xml:space="preserve">Number of under 18s with a learning disability and autistic under 18s admitted to mental health hospital </t>
  </si>
  <si>
    <t>E.K.6</t>
  </si>
  <si>
    <t xml:space="preserve">Number of AHCs with a Health Action Plan delivered to patients aged 14+ on the GP Learning Disability Register. </t>
  </si>
  <si>
    <t>E.D.22</t>
  </si>
  <si>
    <t>Percentage of resident population seen by an NHS dentist - adult</t>
  </si>
  <si>
    <t>E.D.23</t>
  </si>
  <si>
    <t>Percentage of resident population seen by an NHS dentist - child</t>
  </si>
  <si>
    <t xml:space="preserve">E.D.24 </t>
  </si>
  <si>
    <t>Units of dental activity delivered</t>
  </si>
  <si>
    <t>MH</t>
  </si>
  <si>
    <t>E.C.1</t>
  </si>
  <si>
    <t>Mental Health Support Team coverage of total pupils/learners</t>
  </si>
  <si>
    <t>E.C.2</t>
  </si>
  <si>
    <t>Number of schools /colleges covered by an MHST</t>
  </si>
  <si>
    <t>Other key metrics:</t>
  </si>
  <si>
    <t>Other Key UEC Metrics</t>
  </si>
  <si>
    <t>E.B.42</t>
  </si>
  <si>
    <t>Average handover time (Total Handover time (ED and non ED) / No of handovers (ED and non-ED)</t>
  </si>
  <si>
    <t>E.B.47</t>
  </si>
  <si>
    <t>Percentage of Ambulance handovers over 45 minutes</t>
  </si>
  <si>
    <t>E.B.48</t>
  </si>
  <si>
    <t>Ambulance arrivals where handover over 15 minute</t>
  </si>
  <si>
    <t>E.M.13</t>
  </si>
  <si>
    <t>Total number of attendances at Type 1, 2, 3 A&amp;E departments.</t>
  </si>
  <si>
    <t>Percentage of attendances at Type 1, 2, 3 A&amp;E departments, departing in less than 4 hours</t>
  </si>
  <si>
    <t>E.M.13f</t>
  </si>
  <si>
    <t>The total number of attendances for Children</t>
  </si>
  <si>
    <t>Percentage of attendances at all type A&amp;E departments where the patient spent less than 4 hours from time of arrival to admission / discharge / transfer for Children</t>
  </si>
  <si>
    <t>E.M.13g</t>
  </si>
  <si>
    <t>Number of attendances in A&amp;E over 12 hours</t>
  </si>
  <si>
    <t>E.M.30</t>
  </si>
  <si>
    <t>Overnight total general and acute bed occupancy %</t>
  </si>
  <si>
    <t>E.B.43</t>
  </si>
  <si>
    <t>Non elective LOS – acute</t>
  </si>
  <si>
    <t>E.B.45</t>
  </si>
  <si>
    <t>Percentage of patients discharged on discharge ready date</t>
  </si>
  <si>
    <t>E.B.46</t>
  </si>
  <si>
    <t>Average delay (exclude zero delay)</t>
  </si>
  <si>
    <t>Select from ICB Metrics Tab</t>
  </si>
  <si>
    <t xml:space="preserve">N.B. A list of benefit categories has been provided for guidance. You are not required to complete every category; please only complete those that are relevant to your application.
 </t>
  </si>
  <si>
    <t>Milestone date</t>
  </si>
  <si>
    <t>Describe performance improvement delivered by the transformation. To which performance metric in the operational plan is this improvement linked to?</t>
  </si>
  <si>
    <t>Describe how inequality in health outcomes will be reduced. Focus on narrowing the gap for the most deprived areas of the cluster (Core20) and the targeted groups and priority clinical pathways set out in the 5Y Strategic Commissioning Plan</t>
  </si>
  <si>
    <t>Any other benefits not captured in one of the benefit categories</t>
  </si>
  <si>
    <t>Use a different row for each different Investment category affected</t>
  </si>
  <si>
    <t xml:space="preserve">Detail the savings that will be made from the scheme. Describe the areas of expenditure which will reduce, cease or not be incurred. Include units of reduction where applicable e.g. WTE. </t>
  </si>
  <si>
    <t>Detail capacity changes delivered by the transformation, including whether capacity increases, decreases, or both (as in a shift). Capacity may include workforce, physical or virtual capacity. Capacity metrics must triangulate with the  shifts shown in the activity metrics and show the impact on individual providers</t>
  </si>
  <si>
    <t xml:space="preserve">Describe the action or actions that will be taken to enable the savings to be delivered.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</si>
</sst>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Aptos Narrow"/>
      <family val="2"/>
      <scheme val="minor"/>
    </font>
    <font>
      <sz val="10"/>
      <name val="Segoe UI"/>
      <family val="2"/>
    </font>
    <font>
      <b/>
      <sz val="11"/>
      <color rgb="FFFFFFFF"/>
      <name val="Segoe UI"/>
      <family val="2"/>
    </font>
    <font>
      <sz val="9"/>
      <color rgb="FF44546A"/>
      <name val="Segoe UI"/>
      <family val="2"/>
    </font>
    <font>
      <b/>
      <sz val="9"/>
      <color rgb="FF44546A"/>
      <name val="Segoe UI"/>
      <family val="2"/>
    </font>
    <font>
      <b/>
      <sz val="10"/>
      <name val="Segoe UI"/>
      <family val="2"/>
    </font>
    <font>
      <i/>
      <sz val="11"/>
      <color rgb="FFFFFFFF"/>
      <name val="Segoe UI"/>
      <family val="2"/>
    </font>
    <font>
      <sz val="8"/>
      <name val="Aptos Narrow"/>
      <family val="2"/>
      <scheme val="minor"/>
    </font>
    <font>
      <sz val="11"/>
      <color theme="1"/>
      <name val="Aptos Narrow"/>
      <family val="2"/>
      <scheme val="minor"/>
    </font>
    <font>
      <u/>
      <sz val="11"/>
      <color theme="1"/>
      <name val="Aptos Narrow"/>
      <family val="2"/>
      <scheme val="minor"/>
    </font>
    <font>
      <b/>
      <sz val="10"/>
      <color theme="3"/>
      <name val="Segoe UI"/>
      <family val="2"/>
    </font>
    <font>
      <sz val="14"/>
      <color theme="3" tint="-0.249977111117893"/>
      <name val="Segoe UI"/>
      <family val="2"/>
    </font>
    <font>
      <sz val="11"/>
      <color theme="1"/>
      <name val="Segoe UI"/>
      <family val="2"/>
    </font>
    <font>
      <sz val="24"/>
      <color theme="1"/>
      <name val="Aptos Narrow"/>
      <family val="2"/>
      <scheme val="minor"/>
    </font>
    <font>
      <b/>
      <sz val="11"/>
      <color theme="3"/>
      <name val="Segoe UI"/>
      <family val="2"/>
    </font>
    <font>
      <sz val="11"/>
      <color rgb="FFFFFFFF"/>
      <name val="Segoe UI"/>
      <family val="2"/>
    </font>
    <font>
      <b/>
      <sz val="9"/>
      <color theme="0"/>
      <name val="Segoe UI"/>
      <family val="2"/>
    </font>
    <font>
      <sz val="11"/>
      <color theme="0"/>
      <name val="Aptos Narrow"/>
      <family val="2"/>
      <scheme val="minor"/>
    </font>
    <font>
      <sz val="9"/>
      <color rgb="FF44546A"/>
      <name val="Segoe UI"/>
    </font>
    <font>
      <sz val="12"/>
      <color theme="1"/>
      <name val="Aptos Narrow"/>
      <family val="2"/>
      <scheme val="minor"/>
    </font>
  </fonts>
  <fills count="15">
    <fill>
      <patternFill patternType="none"/>
    </fill>
    <fill>
      <patternFill patternType="gray125"/>
    </fill>
    <fill>
      <patternFill patternType="solid">
        <fgColor rgb="FF44546A"/>
        <bgColor rgb="FF000000"/>
      </patternFill>
    </fill>
    <fill>
      <patternFill patternType="solid">
        <fgColor rgb="FFFCE4D6"/>
        <bgColor rgb="FF000000"/>
      </patternFill>
    </fill>
    <fill>
      <patternFill patternType="solid">
        <fgColor rgb="FFD9D9D9"/>
        <bgColor rgb="FF000000"/>
      </patternFill>
    </fill>
    <fill>
      <patternFill patternType="solid">
        <fgColor theme="0" tint="-0.14999847407452621"/>
        <bgColor rgb="FF000000"/>
      </patternFill>
    </fill>
    <fill>
      <patternFill patternType="solid">
        <fgColor rgb="FF8496B0"/>
        <bgColor rgb="FF000000"/>
      </patternFill>
    </fill>
    <fill>
      <patternFill patternType="solid">
        <fgColor theme="1" tint="0.34998626667073579"/>
        <bgColor indexed="64"/>
      </patternFill>
    </fill>
    <fill>
      <patternFill patternType="solid">
        <fgColor theme="5" tint="0.79998168889431442"/>
        <bgColor indexed="64"/>
      </patternFill>
    </fill>
    <fill>
      <patternFill patternType="solid">
        <fgColor rgb="FFACB9CA"/>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44546A"/>
        <bgColor indexed="64"/>
      </patternFill>
    </fill>
    <fill>
      <patternFill patternType="solid">
        <fgColor theme="0"/>
        <bgColor indexed="64"/>
      </patternFill>
    </fill>
    <fill>
      <patternFill patternType="solid">
        <fgColor theme="4" tint="0.39997558519241921"/>
        <bgColor indexed="64"/>
      </patternFill>
    </fill>
  </fills>
  <borders count="22">
    <border>
      <left/>
      <right/>
      <top/>
      <bottom/>
      <diagonal/>
    </border>
    <border>
      <left style="thin">
        <color rgb="FFACB9CA"/>
      </left>
      <right style="thin">
        <color rgb="FFACB9CA"/>
      </right>
      <top style="thin">
        <color rgb="FFACB9CA"/>
      </top>
      <bottom style="thin">
        <color rgb="FFACB9CA"/>
      </bottom>
      <diagonal/>
    </border>
    <border>
      <left style="thin">
        <color rgb="FFACB9CA"/>
      </left>
      <right style="thin">
        <color rgb="FFACB9CA"/>
      </right>
      <top/>
      <bottom/>
      <diagonal/>
    </border>
    <border>
      <left style="thin">
        <color rgb="FFACB9CA"/>
      </left>
      <right/>
      <top style="thin">
        <color rgb="FFACB9CA"/>
      </top>
      <bottom style="thin">
        <color rgb="FFACB9CA"/>
      </bottom>
      <diagonal/>
    </border>
    <border>
      <left style="thin">
        <color rgb="FFACB9CA"/>
      </left>
      <right/>
      <top/>
      <bottom/>
      <diagonal/>
    </border>
    <border>
      <left/>
      <right style="thin">
        <color rgb="FFACB9CA"/>
      </right>
      <top style="thin">
        <color rgb="FFACB9CA"/>
      </top>
      <bottom style="thin">
        <color rgb="FFACB9CA"/>
      </bottom>
      <diagonal/>
    </border>
    <border>
      <left/>
      <right/>
      <top style="thin">
        <color rgb="FFACB9CA"/>
      </top>
      <bottom style="thin">
        <color rgb="FFACB9CA"/>
      </bottom>
      <diagonal/>
    </border>
    <border>
      <left/>
      <right/>
      <top style="thin">
        <color theme="3" tint="0.79998168889431442"/>
      </top>
      <bottom style="thin">
        <color theme="3" tint="0.79998168889431442"/>
      </bottom>
      <diagonal/>
    </border>
    <border>
      <left/>
      <right style="thin">
        <color rgb="FFACB9CA"/>
      </right>
      <top style="thin">
        <color rgb="FFACB9CA"/>
      </top>
      <bottom/>
      <diagonal/>
    </border>
    <border>
      <left style="thin">
        <color rgb="FFACB9CA"/>
      </left>
      <right/>
      <top style="thin">
        <color rgb="FFACB9CA"/>
      </top>
      <bottom/>
      <diagonal/>
    </border>
    <border>
      <left style="thin">
        <color rgb="FFACB9CA"/>
      </left>
      <right/>
      <top/>
      <bottom style="thin">
        <color rgb="FFACB9CA"/>
      </bottom>
      <diagonal/>
    </border>
    <border>
      <left/>
      <right style="thin">
        <color rgb="FFACB9CA"/>
      </right>
      <top/>
      <bottom style="thin">
        <color rgb="FFACB9CA"/>
      </bottom>
      <diagonal/>
    </border>
    <border>
      <left style="thin">
        <color rgb="FFACB9CA"/>
      </left>
      <right style="thin">
        <color rgb="FFACB9CA"/>
      </right>
      <top/>
      <bottom style="thin">
        <color rgb="FFACB9CA"/>
      </bottom>
      <diagonal/>
    </border>
    <border>
      <left style="thin">
        <color rgb="FFACB9CA"/>
      </left>
      <right style="thin">
        <color rgb="FFACB9CA"/>
      </right>
      <top style="thin">
        <color rgb="FFACB9CA"/>
      </top>
      <bottom/>
      <diagonal/>
    </border>
    <border>
      <left/>
      <right/>
      <top style="thin">
        <color rgb="FFACB9CA"/>
      </top>
      <bottom/>
      <diagonal/>
    </border>
    <border>
      <left/>
      <right style="thin">
        <color rgb="FFACB9CA"/>
      </right>
      <top style="medium">
        <color rgb="FFACB9CA"/>
      </top>
      <bottom/>
      <diagonal/>
    </border>
    <border>
      <left style="thin">
        <color rgb="FFACB9CA"/>
      </left>
      <right/>
      <top style="medium">
        <color rgb="FFACB9CA"/>
      </top>
      <bottom/>
      <diagonal/>
    </border>
    <border>
      <left style="thin">
        <color rgb="FFACB9CA"/>
      </left>
      <right style="thin">
        <color rgb="FFACB9CA"/>
      </right>
      <top style="medium">
        <color rgb="FFACB9CA"/>
      </top>
      <bottom/>
      <diagonal/>
    </border>
    <border>
      <left/>
      <right style="thin">
        <color rgb="FFACB9CA"/>
      </right>
      <top style="thin">
        <color rgb="FFACB9CA"/>
      </top>
      <bottom style="medium">
        <color rgb="FFACB9CA"/>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3" tint="0.79998168889431442"/>
      </top>
      <bottom/>
      <diagonal/>
    </border>
  </borders>
  <cellStyleXfs count="2">
    <xf numFmtId="0" fontId="0" fillId="0" borderId="0"/>
    <xf numFmtId="9" fontId="9" fillId="0" borderId="0" applyFont="0" applyFill="0" applyBorder="0" applyAlignment="0" applyProtection="0"/>
  </cellStyleXfs>
  <cellXfs count="120">
    <xf numFmtId="0" fontId="0" fillId="0" borderId="0" xfId="0"/>
    <xf numFmtId="0" fontId="2" fillId="0" borderId="1" xfId="0" applyFont="1" applyBorder="1" applyAlignment="1">
      <alignment horizontal="center" vertical="center" wrapText="1"/>
    </xf>
    <xf numFmtId="17" fontId="3" fillId="2" borderId="2" xfId="0" applyNumberFormat="1" applyFont="1" applyFill="1" applyBorder="1" applyAlignment="1">
      <alignment horizontal="center" vertical="center" textRotation="90"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vertical="center" wrapText="1"/>
    </xf>
    <xf numFmtId="0" fontId="4" fillId="3" borderId="3" xfId="0" applyFont="1" applyFill="1" applyBorder="1" applyAlignment="1">
      <alignment horizontal="center" vertical="center"/>
    </xf>
    <xf numFmtId="0" fontId="3" fillId="2" borderId="4" xfId="0" applyFont="1" applyFill="1" applyBorder="1" applyAlignment="1">
      <alignment horizontal="center" vertical="center" textRotation="90" wrapText="1"/>
    </xf>
    <xf numFmtId="0" fontId="2"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1" fillId="0" borderId="0" xfId="0" applyFont="1"/>
    <xf numFmtId="0" fontId="4" fillId="5" borderId="3" xfId="0" applyFont="1" applyFill="1" applyBorder="1" applyAlignment="1">
      <alignment horizontal="center" vertical="center"/>
    </xf>
    <xf numFmtId="0" fontId="5" fillId="5"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0" fillId="7" borderId="0" xfId="0" applyFill="1"/>
    <xf numFmtId="0" fontId="0" fillId="8" borderId="0" xfId="0" applyFill="1"/>
    <xf numFmtId="0" fontId="10" fillId="0" borderId="0" xfId="0" applyFont="1"/>
    <xf numFmtId="0" fontId="11" fillId="0" borderId="0" xfId="0" applyFont="1"/>
    <xf numFmtId="0" fontId="4" fillId="0" borderId="3" xfId="0" applyFont="1" applyBorder="1" applyAlignment="1">
      <alignment horizontal="center" vertical="center" wrapText="1"/>
    </xf>
    <xf numFmtId="0" fontId="12" fillId="0" borderId="0" xfId="0" applyFont="1" applyAlignment="1">
      <alignment vertical="top"/>
    </xf>
    <xf numFmtId="0" fontId="13" fillId="0" borderId="7" xfId="0" applyFont="1" applyBorder="1" applyAlignment="1">
      <alignment vertical="center"/>
    </xf>
    <xf numFmtId="0" fontId="14" fillId="7" borderId="0" xfId="0" applyFont="1" applyFill="1"/>
    <xf numFmtId="0" fontId="3" fillId="2"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vertical="center" wrapText="1"/>
    </xf>
    <xf numFmtId="0" fontId="4" fillId="0" borderId="1" xfId="0" applyFont="1" applyBorder="1" applyAlignment="1">
      <alignment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0" borderId="13" xfId="0" applyFont="1" applyBorder="1" applyAlignment="1">
      <alignment vertical="center" wrapText="1"/>
    </xf>
    <xf numFmtId="0" fontId="4" fillId="0" borderId="9" xfId="0" applyFont="1" applyBorder="1" applyAlignment="1">
      <alignment horizontal="center" vertical="center" wrapText="1"/>
    </xf>
    <xf numFmtId="17" fontId="3" fillId="2" borderId="2" xfId="0" applyNumberFormat="1" applyFont="1" applyFill="1" applyBorder="1" applyAlignment="1">
      <alignment horizontal="center" vertical="center" wrapText="1"/>
    </xf>
    <xf numFmtId="0" fontId="3" fillId="2" borderId="3" xfId="0" applyFont="1" applyFill="1" applyBorder="1" applyAlignment="1">
      <alignment horizontal="right" vertical="center" wrapText="1" indent="1"/>
    </xf>
    <xf numFmtId="0" fontId="7" fillId="6" borderId="3" xfId="0" applyFont="1" applyFill="1" applyBorder="1" applyAlignment="1">
      <alignment horizontal="left" vertical="center" wrapText="1" indent="1"/>
    </xf>
    <xf numFmtId="0" fontId="7" fillId="6" borderId="9" xfId="0" applyFont="1" applyFill="1" applyBorder="1" applyAlignment="1">
      <alignment horizontal="left" vertical="center" wrapText="1" indent="1"/>
    </xf>
    <xf numFmtId="0" fontId="15" fillId="0" borderId="0" xfId="0" applyFont="1"/>
    <xf numFmtId="0" fontId="3" fillId="2" borderId="9" xfId="0" applyFont="1" applyFill="1" applyBorder="1" applyAlignment="1">
      <alignment horizontal="right" vertical="center" wrapText="1" indent="1"/>
    </xf>
    <xf numFmtId="14" fontId="4" fillId="3" borderId="3" xfId="0" applyNumberFormat="1" applyFont="1" applyFill="1" applyBorder="1" applyAlignment="1">
      <alignment horizontal="center" vertical="center"/>
    </xf>
    <xf numFmtId="14" fontId="4" fillId="3" borderId="9" xfId="0" applyNumberFormat="1" applyFont="1" applyFill="1" applyBorder="1" applyAlignment="1">
      <alignment horizontal="center" vertical="center"/>
    </xf>
    <xf numFmtId="0" fontId="3" fillId="2"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5" fillId="9" borderId="15" xfId="0" applyFont="1" applyFill="1" applyBorder="1" applyAlignment="1">
      <alignment horizontal="center" vertical="center" wrapText="1"/>
    </xf>
    <xf numFmtId="0" fontId="5" fillId="9" borderId="16" xfId="0" applyFont="1" applyFill="1" applyBorder="1" applyAlignment="1">
      <alignment vertical="center" wrapText="1"/>
    </xf>
    <xf numFmtId="0" fontId="3" fillId="6" borderId="3" xfId="0" applyFont="1" applyFill="1" applyBorder="1" applyAlignment="1">
      <alignment horizontal="center" vertical="center" wrapText="1"/>
    </xf>
    <xf numFmtId="0" fontId="5" fillId="0" borderId="3" xfId="0" applyFont="1" applyBorder="1" applyAlignment="1">
      <alignment horizontal="center" vertical="center" wrapText="1"/>
    </xf>
    <xf numFmtId="9" fontId="5" fillId="0" borderId="9" xfId="1" applyFont="1" applyBorder="1" applyAlignment="1">
      <alignment horizontal="center" vertical="center" wrapText="1"/>
    </xf>
    <xf numFmtId="0" fontId="5" fillId="0" borderId="10" xfId="0" applyFont="1" applyBorder="1" applyAlignment="1">
      <alignment horizontal="center" vertical="center" wrapText="1"/>
    </xf>
    <xf numFmtId="0" fontId="0" fillId="13" borderId="0" xfId="0" applyFill="1"/>
    <xf numFmtId="0" fontId="4" fillId="0" borderId="6" xfId="0" applyFont="1" applyBorder="1" applyAlignment="1">
      <alignment vertical="center" wrapText="1"/>
    </xf>
    <xf numFmtId="0" fontId="5" fillId="0" borderId="9" xfId="0" applyFont="1" applyBorder="1" applyAlignment="1">
      <alignment horizontal="center" vertical="center" wrapText="1"/>
    </xf>
    <xf numFmtId="14" fontId="4" fillId="3" borderId="1" xfId="0" applyNumberFormat="1" applyFont="1" applyFill="1" applyBorder="1" applyAlignment="1">
      <alignment horizontal="center" vertical="center"/>
    </xf>
    <xf numFmtId="0" fontId="4" fillId="11" borderId="3" xfId="0" applyFont="1" applyFill="1" applyBorder="1" applyAlignment="1">
      <alignment horizontal="center" vertical="center" wrapText="1"/>
    </xf>
    <xf numFmtId="3" fontId="0" fillId="7" borderId="0" xfId="0" applyNumberFormat="1" applyFill="1"/>
    <xf numFmtId="3" fontId="0" fillId="0" borderId="0" xfId="0" applyNumberFormat="1"/>
    <xf numFmtId="3" fontId="4" fillId="0" borderId="5" xfId="0" applyNumberFormat="1" applyFont="1" applyBorder="1" applyAlignment="1">
      <alignment horizontal="center" vertical="center" wrapText="1"/>
    </xf>
    <xf numFmtId="3" fontId="4" fillId="0" borderId="3" xfId="0" applyNumberFormat="1" applyFont="1" applyBorder="1" applyAlignment="1">
      <alignment vertical="center" wrapText="1"/>
    </xf>
    <xf numFmtId="3" fontId="4" fillId="0" borderId="3"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2" fillId="4" borderId="1" xfId="0" applyNumberFormat="1" applyFont="1" applyFill="1" applyBorder="1" applyAlignment="1">
      <alignment horizontal="center" vertical="center" wrapText="1"/>
    </xf>
    <xf numFmtId="3" fontId="0" fillId="13" borderId="0" xfId="0" applyNumberFormat="1" applyFill="1"/>
    <xf numFmtId="3" fontId="4" fillId="0" borderId="6"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9" xfId="0" applyNumberFormat="1" applyFont="1" applyBorder="1" applyAlignment="1">
      <alignment vertical="center" wrapText="1"/>
    </xf>
    <xf numFmtId="3" fontId="2" fillId="0" borderId="13" xfId="0" applyNumberFormat="1" applyFont="1" applyBorder="1" applyAlignment="1">
      <alignment horizontal="center" vertical="center" wrapText="1"/>
    </xf>
    <xf numFmtId="3" fontId="2" fillId="4" borderId="13" xfId="0" applyNumberFormat="1" applyFont="1" applyFill="1" applyBorder="1" applyAlignment="1">
      <alignment horizontal="center" vertical="center" wrapText="1"/>
    </xf>
    <xf numFmtId="3" fontId="4" fillId="0" borderId="14" xfId="0" applyNumberFormat="1" applyFont="1" applyBorder="1" applyAlignment="1">
      <alignment horizontal="center" vertical="center" wrapText="1"/>
    </xf>
    <xf numFmtId="3" fontId="5" fillId="9" borderId="15" xfId="0" applyNumberFormat="1" applyFont="1" applyFill="1" applyBorder="1" applyAlignment="1">
      <alignment horizontal="center" vertical="center" wrapText="1"/>
    </xf>
    <xf numFmtId="3" fontId="5" fillId="9" borderId="16" xfId="0" applyNumberFormat="1" applyFont="1" applyFill="1" applyBorder="1" applyAlignment="1">
      <alignment vertical="center" wrapText="1"/>
    </xf>
    <xf numFmtId="3" fontId="6" fillId="0" borderId="17" xfId="0" applyNumberFormat="1" applyFont="1" applyBorder="1" applyAlignment="1">
      <alignment horizontal="center" vertical="center" wrapText="1"/>
    </xf>
    <xf numFmtId="3" fontId="6" fillId="10" borderId="17" xfId="0" applyNumberFormat="1" applyFont="1" applyFill="1" applyBorder="1" applyAlignment="1">
      <alignment horizontal="center" vertical="center" wrapText="1"/>
    </xf>
    <xf numFmtId="3" fontId="5" fillId="9" borderId="16" xfId="0" applyNumberFormat="1" applyFont="1" applyFill="1" applyBorder="1" applyAlignment="1">
      <alignment horizontal="center" vertical="center" wrapText="1"/>
    </xf>
    <xf numFmtId="0" fontId="4" fillId="13"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center" wrapText="1"/>
    </xf>
    <xf numFmtId="0" fontId="7" fillId="6" borderId="3"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5" xfId="0" applyFont="1" applyFill="1" applyBorder="1" applyAlignment="1">
      <alignment horizontal="left" vertical="center" wrapText="1"/>
    </xf>
    <xf numFmtId="0" fontId="19" fillId="0" borderId="5" xfId="0" applyFont="1" applyBorder="1" applyAlignment="1">
      <alignment horizontal="center" vertical="center" wrapText="1"/>
    </xf>
    <xf numFmtId="0" fontId="18" fillId="0" borderId="0" xfId="0" applyFont="1"/>
    <xf numFmtId="3" fontId="4" fillId="3" borderId="3" xfId="0" applyNumberFormat="1" applyFont="1" applyFill="1" applyBorder="1" applyAlignment="1">
      <alignment horizontal="center" vertical="center"/>
    </xf>
    <xf numFmtId="3" fontId="2" fillId="0" borderId="3" xfId="0" applyNumberFormat="1" applyFont="1" applyBorder="1" applyAlignment="1">
      <alignment horizontal="center" vertical="center" wrapText="1"/>
    </xf>
    <xf numFmtId="3" fontId="2" fillId="0" borderId="12" xfId="0" applyNumberFormat="1" applyFont="1" applyBorder="1" applyAlignment="1">
      <alignment horizontal="center" vertical="center" wrapText="1"/>
    </xf>
    <xf numFmtId="3" fontId="2" fillId="4" borderId="12" xfId="0" applyNumberFormat="1" applyFont="1" applyFill="1" applyBorder="1" applyAlignment="1">
      <alignment horizontal="center" vertical="center" wrapText="1"/>
    </xf>
    <xf numFmtId="3" fontId="4" fillId="3" borderId="9" xfId="0" applyNumberFormat="1" applyFont="1" applyFill="1" applyBorder="1" applyAlignment="1">
      <alignment horizontal="center" vertical="center"/>
    </xf>
    <xf numFmtId="3" fontId="2" fillId="0" borderId="9" xfId="0" applyNumberFormat="1" applyFont="1" applyBorder="1" applyAlignment="1">
      <alignment horizontal="center" vertical="center" wrapText="1"/>
    </xf>
    <xf numFmtId="3" fontId="4" fillId="3" borderId="1" xfId="0" applyNumberFormat="1" applyFont="1" applyFill="1" applyBorder="1" applyAlignment="1">
      <alignment horizontal="center" vertical="center"/>
    </xf>
    <xf numFmtId="3" fontId="2" fillId="0" borderId="5" xfId="0" applyNumberFormat="1" applyFont="1" applyBorder="1" applyAlignment="1">
      <alignment horizontal="center" vertical="center" wrapText="1"/>
    </xf>
    <xf numFmtId="3" fontId="13" fillId="0" borderId="7" xfId="0" applyNumberFormat="1" applyFont="1" applyBorder="1" applyAlignment="1">
      <alignment vertical="center"/>
    </xf>
    <xf numFmtId="3" fontId="3" fillId="2" borderId="3" xfId="0" applyNumberFormat="1" applyFont="1" applyFill="1" applyBorder="1" applyAlignment="1">
      <alignment horizontal="center" vertical="center" wrapText="1"/>
    </xf>
    <xf numFmtId="3" fontId="16" fillId="2" borderId="2" xfId="0" applyNumberFormat="1" applyFont="1" applyFill="1" applyBorder="1" applyAlignment="1">
      <alignment horizontal="center" vertical="center" wrapText="1"/>
    </xf>
    <xf numFmtId="3" fontId="16" fillId="2" borderId="4"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3" fontId="3" fillId="2" borderId="4" xfId="0" applyNumberFormat="1" applyFont="1" applyFill="1" applyBorder="1" applyAlignment="1">
      <alignment horizontal="center" vertical="center" wrapText="1"/>
    </xf>
    <xf numFmtId="3" fontId="3" fillId="6" borderId="6" xfId="0" applyNumberFormat="1" applyFont="1" applyFill="1" applyBorder="1" applyAlignment="1">
      <alignment horizontal="center" vertical="center" wrapText="1"/>
    </xf>
    <xf numFmtId="3" fontId="17" fillId="12" borderId="18" xfId="0" applyNumberFormat="1" applyFont="1" applyFill="1" applyBorder="1" applyAlignment="1">
      <alignment horizontal="center" vertical="center" wrapText="1"/>
    </xf>
    <xf numFmtId="3" fontId="17" fillId="12" borderId="5" xfId="0" applyNumberFormat="1" applyFont="1" applyFill="1" applyBorder="1" applyAlignment="1">
      <alignment horizontal="center" vertical="center" wrapText="1"/>
    </xf>
    <xf numFmtId="3" fontId="17" fillId="12" borderId="11" xfId="0" applyNumberFormat="1" applyFont="1" applyFill="1" applyBorder="1" applyAlignment="1">
      <alignment horizontal="center" vertical="center" wrapText="1"/>
    </xf>
    <xf numFmtId="3" fontId="17" fillId="12" borderId="8" xfId="0" applyNumberFormat="1" applyFont="1" applyFill="1" applyBorder="1" applyAlignment="1">
      <alignment horizontal="center" vertical="center" wrapText="1"/>
    </xf>
    <xf numFmtId="3" fontId="3" fillId="6" borderId="2" xfId="0" applyNumberFormat="1" applyFont="1" applyFill="1" applyBorder="1" applyAlignment="1">
      <alignment horizontal="center" vertical="center" wrapText="1"/>
    </xf>
    <xf numFmtId="3" fontId="3" fillId="6" borderId="4" xfId="0" applyNumberFormat="1" applyFont="1" applyFill="1" applyBorder="1" applyAlignment="1">
      <alignment horizontal="center" vertical="center" wrapText="1"/>
    </xf>
    <xf numFmtId="3" fontId="2" fillId="11" borderId="1" xfId="0" applyNumberFormat="1" applyFont="1" applyFill="1" applyBorder="1" applyAlignment="1">
      <alignment horizontal="center" vertical="center" wrapText="1"/>
    </xf>
    <xf numFmtId="0" fontId="1" fillId="14" borderId="0" xfId="0" applyFont="1" applyFill="1" applyAlignment="1">
      <alignment horizontal="center" vertical="center"/>
    </xf>
    <xf numFmtId="0" fontId="0" fillId="0" borderId="19" xfId="0" applyBorder="1" applyAlignment="1">
      <alignment horizontal="center" vertical="center" textRotation="90" wrapText="1"/>
    </xf>
    <xf numFmtId="0" fontId="0" fillId="0" borderId="19" xfId="0" applyBorder="1"/>
    <xf numFmtId="0" fontId="0" fillId="0" borderId="19" xfId="0" applyBorder="1" applyAlignment="1">
      <alignment horizontal="center" vertical="center" textRotation="90"/>
    </xf>
    <xf numFmtId="0" fontId="0" fillId="0" borderId="19" xfId="0" applyBorder="1" applyAlignment="1">
      <alignment horizontal="center" vertical="center" textRotation="90"/>
    </xf>
    <xf numFmtId="0" fontId="0" fillId="0" borderId="19" xfId="0" applyBorder="1" applyAlignment="1">
      <alignment wrapText="1"/>
    </xf>
    <xf numFmtId="0" fontId="20" fillId="0" borderId="19" xfId="0" applyFont="1" applyBorder="1"/>
    <xf numFmtId="0" fontId="20" fillId="13" borderId="19" xfId="0" applyFont="1" applyFill="1" applyBorder="1" applyAlignment="1">
      <alignment vertical="center"/>
    </xf>
    <xf numFmtId="0" fontId="20" fillId="0" borderId="19" xfId="0" applyFont="1" applyBorder="1" applyAlignment="1">
      <alignment wrapText="1"/>
    </xf>
    <xf numFmtId="0" fontId="20" fillId="13" borderId="19" xfId="0" applyFont="1" applyFill="1" applyBorder="1" applyAlignment="1">
      <alignment vertical="center" wrapText="1"/>
    </xf>
    <xf numFmtId="0" fontId="0" fillId="14" borderId="20" xfId="0" applyFill="1" applyBorder="1" applyAlignment="1">
      <alignment horizontal="center"/>
    </xf>
    <xf numFmtId="0" fontId="0" fillId="0" borderId="0" xfId="0" applyAlignment="1">
      <alignment horizontal="center" vertical="center" textRotation="90"/>
    </xf>
    <xf numFmtId="0" fontId="13" fillId="0" borderId="21" xfId="0" applyFont="1" applyBorder="1" applyAlignment="1">
      <alignment vertical="center"/>
    </xf>
    <xf numFmtId="0" fontId="0" fillId="0" borderId="0" xfId="0" applyBorder="1"/>
  </cellXfs>
  <cellStyles count="2">
    <cellStyle name="Normal" xfId="0" builtinId="0"/>
    <cellStyle name="Percent" xfId="1" builtinId="5"/>
  </cellStyles>
  <dxfs count="454">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outline="0">
        <left style="thin">
          <color rgb="FFACB9CA"/>
        </left>
        <right style="thin">
          <color rgb="FFACB9CA"/>
        </right>
        <top style="thin">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outline="0">
        <left style="thin">
          <color rgb="FFACB9CA"/>
        </left>
        <right style="thin">
          <color rgb="FFACB9CA"/>
        </right>
        <top style="thin">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outline="0">
        <left style="thin">
          <color rgb="FFACB9CA"/>
        </left>
        <right style="thin">
          <color rgb="FFACB9CA"/>
        </right>
        <top style="thin">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outline="0">
        <left style="thin">
          <color rgb="FFACB9CA"/>
        </left>
        <right style="thin">
          <color rgb="FFACB9CA"/>
        </right>
        <top style="thin">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outline="0">
        <left style="thin">
          <color rgb="FFACB9CA"/>
        </left>
        <right style="thin">
          <color rgb="FFACB9CA"/>
        </right>
        <top style="thin">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9"/>
        <color rgb="FF44546A"/>
        <name val="Segoe UI"/>
        <family val="2"/>
        <scheme val="none"/>
      </font>
      <fill>
        <patternFill patternType="solid">
          <fgColor indexed="64"/>
          <bgColor rgb="FFACB9CA"/>
        </patternFill>
      </fill>
      <alignment horizontal="general" vertical="center" textRotation="0" wrapText="1" indent="0" justifyLastLine="0" shrinkToFit="0" readingOrder="0"/>
      <border diagonalUp="0" diagonalDown="0" outline="0">
        <left style="thin">
          <color rgb="FFACB9CA"/>
        </left>
        <right/>
        <top style="medium">
          <color rgb="FFACB9CA"/>
        </top>
        <bottom/>
      </border>
    </dxf>
    <dxf>
      <font>
        <b/>
        <i val="0"/>
        <strike val="0"/>
        <condense val="0"/>
        <extend val="0"/>
        <outline val="0"/>
        <shadow val="0"/>
        <u val="none"/>
        <vertAlign val="baseline"/>
        <sz val="9"/>
        <color rgb="FF44546A"/>
        <name val="Segoe UI"/>
        <family val="2"/>
        <scheme val="none"/>
      </font>
      <numFmt numFmtId="3" formatCode="#,##0"/>
      <fill>
        <patternFill patternType="solid">
          <fgColor indexed="64"/>
          <bgColor rgb="FFACB9CA"/>
        </patternFill>
      </fill>
      <alignment horizontal="center" vertical="center" textRotation="0" wrapText="1" indent="0" justifyLastLine="0" shrinkToFit="0" readingOrder="0"/>
      <border diagonalUp="0" diagonalDown="0" outline="0">
        <left style="thin">
          <color rgb="FFACB9CA"/>
        </left>
        <right/>
        <top style="medium">
          <color rgb="FFACB9CA"/>
        </top>
        <bottom/>
      </border>
    </dxf>
    <dxf>
      <font>
        <b/>
        <i val="0"/>
        <strike val="0"/>
        <condense val="0"/>
        <extend val="0"/>
        <outline val="0"/>
        <shadow val="0"/>
        <u val="none"/>
        <vertAlign val="baseline"/>
        <sz val="9"/>
        <color rgb="FF44546A"/>
        <name val="Segoe UI"/>
        <family val="2"/>
        <scheme val="none"/>
      </font>
      <fill>
        <patternFill patternType="solid">
          <fgColor indexed="64"/>
          <bgColor rgb="FFACB9CA"/>
        </patternFill>
      </fill>
      <alignment horizontal="general" vertical="center" textRotation="0" wrapText="1" indent="0" justifyLastLine="0" shrinkToFit="0" readingOrder="0"/>
      <border diagonalUp="0" diagonalDown="0" outline="0">
        <left style="thin">
          <color rgb="FFACB9CA"/>
        </left>
        <right/>
        <top style="medium">
          <color rgb="FFACB9CA"/>
        </top>
        <bottom/>
      </border>
    </dxf>
    <dxf>
      <font>
        <b/>
        <i val="0"/>
        <strike val="0"/>
        <condense val="0"/>
        <extend val="0"/>
        <outline val="0"/>
        <shadow val="0"/>
        <u val="none"/>
        <vertAlign val="baseline"/>
        <sz val="9"/>
        <color rgb="FF44546A"/>
        <name val="Segoe UI"/>
        <family val="2"/>
        <scheme val="none"/>
      </font>
      <fill>
        <patternFill patternType="solid">
          <fgColor indexed="64"/>
          <bgColor rgb="FFACB9CA"/>
        </patternFill>
      </fill>
      <alignment horizontal="center" vertical="center" textRotation="0" wrapText="1" indent="0" justifyLastLine="0" shrinkToFit="0" readingOrder="0"/>
      <border diagonalUp="0" diagonalDown="0" outline="0">
        <left/>
        <right style="thin">
          <color rgb="FFACB9CA"/>
        </right>
        <top style="medium">
          <color rgb="FFACB9CA"/>
        </top>
        <bottom/>
      </border>
    </dxf>
    <dxf>
      <font>
        <b/>
        <i val="0"/>
        <strike val="0"/>
        <condense val="0"/>
        <extend val="0"/>
        <outline val="0"/>
        <shadow val="0"/>
        <u val="none"/>
        <vertAlign val="baseline"/>
        <sz val="9"/>
        <color rgb="FF44546A"/>
        <name val="Segoe UI"/>
        <family val="2"/>
        <scheme val="none"/>
      </font>
      <fill>
        <patternFill patternType="solid">
          <fgColor indexed="64"/>
          <bgColor rgb="FFACB9CA"/>
        </patternFill>
      </fill>
      <alignment horizontal="center" vertical="center" textRotation="0" wrapText="1" indent="0" justifyLastLine="0" shrinkToFit="0" readingOrder="0"/>
      <border diagonalUp="0" diagonalDown="0" outline="0">
        <left/>
        <right style="thin">
          <color rgb="FFACB9CA"/>
        </right>
        <top style="medium">
          <color rgb="FFACB9CA"/>
        </top>
        <bottom/>
      </border>
    </dxf>
    <dxf>
      <font>
        <b/>
        <i val="0"/>
        <strike val="0"/>
        <condense val="0"/>
        <extend val="0"/>
        <outline val="0"/>
        <shadow val="0"/>
        <u val="none"/>
        <vertAlign val="baseline"/>
        <sz val="9"/>
        <color rgb="FF44546A"/>
        <name val="Segoe UI"/>
        <family val="2"/>
        <scheme val="none"/>
      </font>
      <fill>
        <patternFill patternType="solid">
          <fgColor indexed="64"/>
          <bgColor rgb="FFACB9CA"/>
        </patternFill>
      </fill>
      <alignment horizontal="center" vertical="center" textRotation="0" wrapText="1" indent="0" justifyLastLine="0" shrinkToFit="0" readingOrder="0"/>
      <border diagonalUp="0" diagonalDown="0" outline="0">
        <left/>
        <right style="thin">
          <color rgb="FFACB9CA"/>
        </right>
        <top style="medium">
          <color rgb="FFACB9CA"/>
        </top>
        <bottom/>
      </border>
    </dxf>
    <dxf>
      <font>
        <color rgb="FF00B0F0"/>
      </font>
      <fill>
        <patternFill>
          <bgColor theme="8" tint="0.79998168889431442"/>
        </patternFill>
      </fill>
    </dxf>
    <dxf>
      <font>
        <b/>
        <i val="0"/>
        <strike val="0"/>
        <condense val="0"/>
        <extend val="0"/>
        <outline val="0"/>
        <shadow val="0"/>
        <u val="none"/>
        <vertAlign val="baseline"/>
        <sz val="10"/>
        <color auto="1"/>
        <name val="Segoe UI"/>
        <family val="2"/>
        <scheme val="none"/>
      </font>
      <numFmt numFmtId="3"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outline="0">
        <left style="thin">
          <color rgb="FFACB9CA"/>
        </left>
        <right style="thin">
          <color rgb="FFACB9CA"/>
        </right>
        <top style="medium">
          <color rgb="FFACB9CA"/>
        </top>
        <bottom/>
      </border>
    </dxf>
    <dxf>
      <font>
        <b/>
        <i val="0"/>
        <strike val="0"/>
        <condense val="0"/>
        <extend val="0"/>
        <outline val="0"/>
        <shadow val="0"/>
        <u val="none"/>
        <vertAlign val="baseline"/>
        <sz val="9"/>
        <color rgb="FF44546A"/>
        <name val="Segoe UI"/>
        <family val="2"/>
        <scheme val="none"/>
      </font>
      <numFmt numFmtId="3" formatCode="#,##0"/>
      <fill>
        <patternFill patternType="solid">
          <fgColor indexed="64"/>
          <bgColor rgb="FFACB9CA"/>
        </patternFill>
      </fill>
      <alignment horizontal="general" vertical="center" textRotation="0" wrapText="1" indent="0" justifyLastLine="0" shrinkToFit="0" readingOrder="0"/>
      <border diagonalUp="0" diagonalDown="0" outline="0">
        <left style="thin">
          <color rgb="FFACB9CA"/>
        </left>
        <right/>
        <top style="medium">
          <color rgb="FFACB9CA"/>
        </top>
        <bottom/>
      </border>
    </dxf>
    <dxf>
      <font>
        <b/>
        <i val="0"/>
        <strike val="0"/>
        <condense val="0"/>
        <extend val="0"/>
        <outline val="0"/>
        <shadow val="0"/>
        <u val="none"/>
        <vertAlign val="baseline"/>
        <sz val="9"/>
        <color rgb="FF44546A"/>
        <name val="Segoe UI"/>
        <family val="2"/>
        <scheme val="none"/>
      </font>
      <numFmt numFmtId="3" formatCode="#,##0"/>
      <fill>
        <patternFill patternType="solid">
          <fgColor indexed="64"/>
          <bgColor rgb="FFACB9CA"/>
        </patternFill>
      </fill>
      <alignment horizontal="center" vertical="center" textRotation="0" wrapText="1" indent="0" justifyLastLine="0" shrinkToFit="0" readingOrder="0"/>
      <border diagonalUp="0" diagonalDown="0" outline="0">
        <left style="thin">
          <color rgb="FFACB9CA"/>
        </left>
        <right/>
        <top style="medium">
          <color rgb="FFACB9CA"/>
        </top>
        <bottom/>
      </border>
    </dxf>
    <dxf>
      <font>
        <b/>
        <i val="0"/>
        <strike val="0"/>
        <condense val="0"/>
        <extend val="0"/>
        <outline val="0"/>
        <shadow val="0"/>
        <u val="none"/>
        <vertAlign val="baseline"/>
        <sz val="9"/>
        <color rgb="FF44546A"/>
        <name val="Segoe UI"/>
        <family val="2"/>
        <scheme val="none"/>
      </font>
      <numFmt numFmtId="3" formatCode="#,##0"/>
      <fill>
        <patternFill patternType="solid">
          <fgColor indexed="64"/>
          <bgColor rgb="FFACB9CA"/>
        </patternFill>
      </fill>
      <alignment horizontal="center" vertical="center" textRotation="0" wrapText="1" indent="0" justifyLastLine="0" shrinkToFit="0" readingOrder="0"/>
      <border diagonalUp="0" diagonalDown="0" outline="0">
        <left/>
        <right style="thin">
          <color rgb="FFACB9CA"/>
        </right>
        <top style="medium">
          <color rgb="FFACB9CA"/>
        </top>
        <bottom/>
      </border>
    </dxf>
    <dxf>
      <font>
        <b/>
        <i val="0"/>
        <strike val="0"/>
        <condense val="0"/>
        <extend val="0"/>
        <outline val="0"/>
        <shadow val="0"/>
        <u val="none"/>
        <vertAlign val="baseline"/>
        <sz val="9"/>
        <color rgb="FF44546A"/>
        <name val="Segoe UI"/>
        <family val="2"/>
        <scheme val="none"/>
      </font>
      <numFmt numFmtId="3" formatCode="#,##0"/>
      <fill>
        <patternFill patternType="solid">
          <fgColor indexed="64"/>
          <bgColor rgb="FFACB9CA"/>
        </patternFill>
      </fill>
      <alignment horizontal="center" vertical="center" textRotation="0" wrapText="1" indent="0" justifyLastLine="0" shrinkToFit="0" readingOrder="0"/>
      <border diagonalUp="0" diagonalDown="0" outline="0">
        <left/>
        <right style="thin">
          <color rgb="FFACB9CA"/>
        </right>
        <top style="medium">
          <color rgb="FFACB9CA"/>
        </top>
        <bottom/>
      </border>
    </dxf>
    <dxf>
      <font>
        <b val="0"/>
        <i val="0"/>
        <strike val="0"/>
        <condense val="0"/>
        <extend val="0"/>
        <outline val="0"/>
        <shadow val="0"/>
        <u val="none"/>
        <vertAlign val="baseline"/>
        <sz val="9"/>
        <color rgb="FF44546A"/>
        <name val="Segoe UI"/>
        <family val="2"/>
        <scheme val="none"/>
      </font>
      <numFmt numFmtId="3" formatCode="#,##0"/>
      <alignment horizontal="center" vertical="center" textRotation="0" wrapText="1"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i val="0"/>
        <strike val="0"/>
        <condense val="0"/>
        <extend val="0"/>
        <outline val="0"/>
        <shadow val="0"/>
        <u val="none"/>
        <vertAlign val="baseline"/>
        <sz val="9"/>
        <color theme="0"/>
        <name val="Segoe UI"/>
        <family val="2"/>
        <scheme val="none"/>
      </font>
      <numFmt numFmtId="3" formatCode="#,##0"/>
      <fill>
        <patternFill patternType="solid">
          <fgColor indexed="64"/>
          <bgColor rgb="FF44546A"/>
        </patternFill>
      </fill>
      <alignment horizontal="center" vertical="center" textRotation="0" wrapText="1" indent="0" justifyLastLine="0" shrinkToFit="0" readingOrder="0"/>
      <border diagonalUp="0" diagonalDown="0">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fill>
        <patternFill patternType="solid">
          <fgColor rgb="FF000000"/>
          <bgColor rgb="FFD9D9D9"/>
        </patternFill>
      </fill>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horizontal/>
      </border>
    </dxf>
    <dxf>
      <font>
        <b val="0"/>
        <i val="0"/>
        <strike val="0"/>
        <condense val="0"/>
        <extend val="0"/>
        <outline val="0"/>
        <shadow val="0"/>
        <u val="none"/>
        <vertAlign val="baseline"/>
        <sz val="10"/>
        <color auto="1"/>
        <name val="Segoe UI"/>
        <family val="2"/>
        <scheme val="none"/>
      </font>
      <numFmt numFmtId="3" formatCode="#,##0"/>
      <alignment horizontal="center" vertical="center" textRotation="0" wrapText="1" indent="0" justifyLastLine="0" shrinkToFit="0" readingOrder="0"/>
      <border diagonalUp="0" diagonalDown="0">
        <left/>
        <right style="thin">
          <color rgb="FFACB9CA"/>
        </right>
        <top style="thin">
          <color rgb="FFACB9CA"/>
        </top>
        <bottom style="thin">
          <color rgb="FFACB9CA"/>
        </bottom>
      </border>
    </dxf>
    <dxf>
      <font>
        <b val="0"/>
        <i val="0"/>
        <strike val="0"/>
        <condense val="0"/>
        <extend val="0"/>
        <outline val="0"/>
        <shadow val="0"/>
        <u val="none"/>
        <vertAlign val="baseline"/>
        <sz val="9"/>
        <color rgb="FF44546A"/>
        <name val="Segoe UI"/>
        <family val="2"/>
        <scheme val="none"/>
      </font>
      <numFmt numFmtId="3" formatCode="#,##0"/>
      <fill>
        <patternFill patternType="solid">
          <fgColor rgb="FF000000"/>
          <bgColor rgb="FFFCE4D6"/>
        </patternFill>
      </fill>
      <alignment horizontal="center" vertical="center" textRotation="0" wrapText="0" indent="0" justifyLastLine="0" shrinkToFit="0" readingOrder="0"/>
      <border diagonalUp="0" diagonalDown="0">
        <left style="thin">
          <color rgb="FFACB9CA"/>
        </left>
        <right style="thin">
          <color rgb="FFACB9CA"/>
        </right>
        <top style="thin">
          <color rgb="FFACB9CA"/>
        </top>
        <bottom style="thin">
          <color rgb="FFACB9CA"/>
        </bottom>
      </border>
    </dxf>
    <dxf>
      <font>
        <b val="0"/>
        <i val="0"/>
        <strike val="0"/>
        <condense val="0"/>
        <extend val="0"/>
        <outline val="0"/>
        <shadow val="0"/>
        <u val="none"/>
        <vertAlign val="baseline"/>
        <sz val="9"/>
        <color rgb="FF44546A"/>
        <name val="Segoe UI"/>
        <family val="2"/>
        <scheme val="none"/>
      </font>
      <numFmt numFmtId="19" formatCode="dd/mm/yyyy"/>
      <fill>
        <patternFill patternType="solid">
          <fgColor rgb="FF000000"/>
          <bgColor rgb="FFFCE4D6"/>
        </patternFill>
      </fill>
      <alignment horizontal="center" vertical="center" textRotation="0" wrapText="0"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9"/>
        <color rgb="FF44546A"/>
        <name val="Segoe UI"/>
        <family val="2"/>
        <scheme val="none"/>
      </font>
      <numFmt numFmtId="19" formatCode="dd/mm/yyyy"/>
      <fill>
        <patternFill patternType="solid">
          <fgColor rgb="FF000000"/>
          <bgColor rgb="FFFCE4D6"/>
        </patternFill>
      </fill>
      <alignment horizontal="center" vertical="center" textRotation="0" wrapText="0"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9"/>
        <color rgb="FF44546A"/>
        <name val="Segoe UI"/>
        <family val="2"/>
        <scheme val="none"/>
      </font>
      <numFmt numFmtId="19" formatCode="dd/mm/yyyy"/>
      <fill>
        <patternFill patternType="solid">
          <fgColor rgb="FF000000"/>
          <bgColor rgb="FFFCE4D6"/>
        </patternFill>
      </fill>
      <alignment horizontal="center" vertical="center" textRotation="0" wrapText="0" indent="0" justifyLastLine="0" shrinkToFit="0" readingOrder="0"/>
      <border diagonalUp="0" diagonalDown="0" outline="0">
        <left style="thin">
          <color rgb="FFACB9CA"/>
        </left>
        <right/>
        <top style="thin">
          <color rgb="FFACB9CA"/>
        </top>
        <bottom style="thin">
          <color rgb="FFACB9CA"/>
        </bottom>
      </border>
    </dxf>
    <dxf>
      <font>
        <b val="0"/>
        <i val="0"/>
        <strike val="0"/>
        <condense val="0"/>
        <extend val="0"/>
        <outline val="0"/>
        <shadow val="0"/>
        <u val="none"/>
        <vertAlign val="baseline"/>
        <sz val="9"/>
        <color rgb="FF44546A"/>
        <name val="Segoe UI"/>
        <family val="2"/>
        <scheme val="none"/>
      </font>
      <alignment horizontal="general" vertical="center" textRotation="0" wrapText="1"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9"/>
        <color rgb="FF44546A"/>
        <name val="Segoe UI"/>
        <family val="2"/>
        <scheme val="none"/>
      </font>
      <alignment horizontal="general" vertical="center" textRotation="0" wrapText="1"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9"/>
        <color rgb="FF44546A"/>
        <name val="Segoe UI"/>
        <family val="2"/>
        <scheme val="none"/>
      </font>
      <alignment horizontal="general" vertical="center" textRotation="0" wrapText="1" indent="0" justifyLastLine="0" shrinkToFit="0" readingOrder="0"/>
      <border diagonalUp="0" diagonalDown="0" outline="0">
        <left/>
        <right/>
        <top style="thin">
          <color rgb="FFACB9CA"/>
        </top>
        <bottom style="thin">
          <color rgb="FFACB9CA"/>
        </bottom>
      </border>
    </dxf>
    <dxf>
      <font>
        <b val="0"/>
        <i val="0"/>
        <strike val="0"/>
        <condense val="0"/>
        <extend val="0"/>
        <outline val="0"/>
        <shadow val="0"/>
        <u val="none"/>
        <vertAlign val="baseline"/>
        <sz val="9"/>
        <color rgb="FF44546A"/>
        <name val="Segoe UI"/>
        <family val="2"/>
        <scheme val="none"/>
      </font>
      <alignment horizontal="general" vertical="center" textRotation="0" wrapText="1"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9"/>
        <color rgb="FF44546A"/>
        <name val="Segoe UI"/>
        <family val="2"/>
        <scheme val="none"/>
      </font>
      <alignment horizontal="center" vertical="center" textRotation="0" wrapText="1"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9"/>
        <color rgb="FF44546A"/>
        <name val="Segoe UI"/>
        <family val="2"/>
        <scheme val="none"/>
      </font>
      <alignment horizontal="center" vertical="center" textRotation="0" wrapText="1" indent="0" justifyLastLine="0" shrinkToFit="0" readingOrder="0"/>
      <border diagonalUp="0" diagonalDown="0" outline="0">
        <left style="thin">
          <color rgb="FFACB9CA"/>
        </left>
        <right/>
        <top style="thin">
          <color rgb="FFACB9CA"/>
        </top>
        <bottom style="thin">
          <color rgb="FFACB9CA"/>
        </bottom>
      </border>
    </dxf>
    <dxf>
      <font>
        <b val="0"/>
        <i val="0"/>
        <strike val="0"/>
        <condense val="0"/>
        <extend val="0"/>
        <outline val="0"/>
        <shadow val="0"/>
        <u val="none"/>
        <vertAlign val="baseline"/>
        <sz val="9"/>
        <color rgb="FF44546A"/>
        <name val="Segoe U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rgb="FFACB9CA"/>
        </right>
        <top style="thin">
          <color rgb="FFACB9CA"/>
        </top>
        <bottom style="thin">
          <color rgb="FFACB9CA"/>
        </bottom>
      </border>
    </dxf>
    <dxf>
      <border outline="0">
        <left style="thin">
          <color rgb="FFACB9CA"/>
        </left>
        <right style="thin">
          <color rgb="FFACB9CA"/>
        </right>
        <bottom style="thin">
          <color rgb="FFACB9CA"/>
        </bottom>
      </border>
    </dxf>
    <dxf>
      <font>
        <b val="0"/>
        <i val="0"/>
        <strike val="0"/>
        <condense val="0"/>
        <extend val="0"/>
        <outline val="0"/>
        <shadow val="0"/>
        <u val="none"/>
        <vertAlign val="baseline"/>
        <sz val="10"/>
        <color auto="1"/>
        <name val="Segoe U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rgb="FFFFFFFF"/>
        <name val="Segoe UI"/>
        <family val="2"/>
        <scheme val="none"/>
      </font>
      <numFmt numFmtId="22" formatCode="mmm\-yy"/>
      <fill>
        <patternFill patternType="solid">
          <fgColor rgb="FF000000"/>
          <bgColor rgb="FF44546A"/>
        </patternFill>
      </fill>
      <alignment horizontal="center" vertical="center" textRotation="90" wrapText="1" indent="0" justifyLastLine="0" shrinkToFit="0" readingOrder="0"/>
      <border diagonalUp="0" diagonalDown="0" outline="0">
        <left style="thin">
          <color rgb="FFACB9CA"/>
        </left>
        <right style="thin">
          <color rgb="FFACB9CA"/>
        </right>
        <top/>
        <bottom/>
      </border>
    </dxf>
    <dxf>
      <font>
        <b val="0"/>
        <i val="0"/>
        <strike val="0"/>
        <condense val="0"/>
        <extend val="0"/>
        <outline val="0"/>
        <shadow val="0"/>
        <u val="none"/>
        <vertAlign val="baseline"/>
        <sz val="9"/>
        <color rgb="FF44546A"/>
        <name val="Segoe UI"/>
        <family val="2"/>
        <scheme val="none"/>
      </font>
      <fill>
        <patternFill patternType="solid">
          <fgColor rgb="FF000000"/>
          <bgColor rgb="FFFCE4D6"/>
        </patternFill>
      </fill>
      <alignment horizontal="center" vertical="center" textRotation="0" wrapText="0" indent="0" justifyLastLine="0" shrinkToFit="0" readingOrder="0"/>
      <border diagonalUp="0" diagonalDown="0">
        <left style="thin">
          <color rgb="FFACB9CA"/>
        </left>
        <right style="thin">
          <color rgb="FFACB9CA"/>
        </right>
        <top style="thin">
          <color rgb="FFACB9CA"/>
        </top>
        <bottom style="thin">
          <color rgb="FFACB9CA"/>
        </bottom>
        <vertical style="thin">
          <color rgb="FFACB9CA"/>
        </vertical>
        <horizontal style="thin">
          <color rgb="FFACB9CA"/>
        </horizontal>
      </border>
    </dxf>
    <dxf>
      <font>
        <b val="0"/>
        <i val="0"/>
        <strike val="0"/>
        <condense val="0"/>
        <extend val="0"/>
        <outline val="0"/>
        <shadow val="0"/>
        <u val="none"/>
        <vertAlign val="baseline"/>
        <sz val="9"/>
        <color rgb="FF44546A"/>
        <name val="Segoe UI"/>
        <family val="2"/>
        <scheme val="none"/>
      </font>
      <alignment horizontal="general"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style="thin">
          <color rgb="FFACB9CA"/>
        </vertical>
        <horizontal style="thin">
          <color rgb="FFACB9CA"/>
        </horizontal>
      </border>
    </dxf>
    <dxf>
      <font>
        <b val="0"/>
        <i val="0"/>
        <strike val="0"/>
        <condense val="0"/>
        <extend val="0"/>
        <outline val="0"/>
        <shadow val="0"/>
        <u val="none"/>
        <vertAlign val="baseline"/>
        <sz val="9"/>
        <color rgb="FF44546A"/>
        <name val="Segoe UI"/>
        <family val="2"/>
        <scheme val="none"/>
      </font>
      <alignment horizontal="general"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style="thin">
          <color rgb="FFACB9CA"/>
        </vertical>
        <horizontal style="thin">
          <color rgb="FFACB9CA"/>
        </horizontal>
      </border>
    </dxf>
    <dxf>
      <font>
        <b val="0"/>
        <i val="0"/>
        <strike val="0"/>
        <condense val="0"/>
        <extend val="0"/>
        <outline val="0"/>
        <shadow val="0"/>
        <u val="none"/>
        <vertAlign val="baseline"/>
        <sz val="9"/>
        <color rgb="FF44546A"/>
        <name val="Segoe UI"/>
        <family val="2"/>
        <scheme val="none"/>
      </font>
      <alignment horizontal="general" vertical="center" textRotation="0" wrapText="1" indent="0" justifyLastLine="0" shrinkToFit="0" readingOrder="0"/>
      <border diagonalUp="0" diagonalDown="0">
        <left style="thin">
          <color rgb="FFACB9CA"/>
        </left>
        <right style="thin">
          <color rgb="FFACB9CA"/>
        </right>
        <top style="thin">
          <color rgb="FFACB9CA"/>
        </top>
        <bottom style="thin">
          <color rgb="FFACB9CA"/>
        </bottom>
        <vertical style="thin">
          <color rgb="FFACB9CA"/>
        </vertical>
        <horizontal style="thin">
          <color rgb="FFACB9CA"/>
        </horizontal>
      </border>
    </dxf>
    <dxf>
      <font>
        <b val="0"/>
        <i val="0"/>
        <strike val="0"/>
        <condense val="0"/>
        <extend val="0"/>
        <outline val="0"/>
        <shadow val="0"/>
        <u val="none"/>
        <vertAlign val="baseline"/>
        <sz val="9"/>
        <color rgb="FF44546A"/>
        <name val="Segoe UI"/>
        <family val="2"/>
        <scheme val="none"/>
      </font>
      <alignment horizontal="center" vertical="center" textRotation="0" wrapText="1" indent="0" justifyLastLine="0" shrinkToFit="0" readingOrder="0"/>
      <border diagonalUp="0" diagonalDown="0">
        <left/>
        <right style="thin">
          <color rgb="FFACB9CA"/>
        </right>
        <top style="thin">
          <color rgb="FFACB9CA"/>
        </top>
        <bottom style="thin">
          <color rgb="FFACB9CA"/>
        </bottom>
        <vertical style="thin">
          <color rgb="FFACB9CA"/>
        </vertical>
        <horizontal style="thin">
          <color rgb="FFACB9CA"/>
        </horizontal>
      </border>
    </dxf>
    <dxf>
      <border>
        <top style="thin">
          <color rgb="FFACB9CA"/>
        </top>
      </border>
    </dxf>
    <dxf>
      <border diagonalUp="0" diagonalDown="0">
        <left style="thin">
          <color rgb="FFACB9CA"/>
        </left>
        <right style="thin">
          <color rgb="FFACB9CA"/>
        </right>
        <top style="thin">
          <color rgb="FFACB9CA"/>
        </top>
        <bottom style="thin">
          <color rgb="FFACB9CA"/>
        </bottom>
      </border>
    </dxf>
    <dxf>
      <font>
        <b val="0"/>
        <i val="0"/>
        <strike val="0"/>
        <condense val="0"/>
        <extend val="0"/>
        <outline val="0"/>
        <shadow val="0"/>
        <u val="none"/>
        <vertAlign val="baseline"/>
        <sz val="9"/>
        <color rgb="FF44546A"/>
        <name val="Segoe UI"/>
        <family val="2"/>
        <scheme val="none"/>
      </font>
      <fill>
        <patternFill patternType="solid">
          <fgColor rgb="FF000000"/>
          <bgColor rgb="FFFCE4D6"/>
        </patternFill>
      </fill>
      <alignment horizontal="center" vertical="center" textRotation="0" wrapText="0" indent="0" justifyLastLine="0" shrinkToFit="0" readingOrder="0"/>
    </dxf>
    <dxf>
      <border>
        <bottom style="thin">
          <color rgb="FFACB9CA"/>
        </bottom>
      </border>
    </dxf>
    <dxf>
      <font>
        <b/>
        <i val="0"/>
        <strike val="0"/>
        <condense val="0"/>
        <extend val="0"/>
        <outline val="0"/>
        <shadow val="0"/>
        <u val="none"/>
        <vertAlign val="baseline"/>
        <sz val="11"/>
        <color rgb="FFFFFFFF"/>
        <name val="Segoe UI"/>
        <family val="2"/>
        <scheme val="none"/>
      </font>
      <fill>
        <patternFill patternType="solid">
          <fgColor rgb="FF000000"/>
          <bgColor rgb="FF44546A"/>
        </patternFill>
      </fill>
      <alignment horizontal="center" vertical="center" textRotation="0" wrapText="1" indent="0" justifyLastLine="0" shrinkToFit="0" readingOrder="0"/>
      <border diagonalUp="0" diagonalDown="0">
        <left style="thin">
          <color rgb="FFACB9CA"/>
        </left>
        <right style="thin">
          <color rgb="FFACB9CA"/>
        </right>
        <top/>
        <bottom/>
        <vertical style="thin">
          <color rgb="FFACB9CA"/>
        </vertical>
        <horizontal style="thin">
          <color rgb="FFACB9CA"/>
        </horizontal>
      </border>
    </dxf>
    <dxf>
      <font>
        <b/>
        <i val="0"/>
        <strike val="0"/>
        <condense val="0"/>
        <extend val="0"/>
        <outline val="0"/>
        <shadow val="0"/>
        <u val="none"/>
        <vertAlign val="baseline"/>
        <sz val="9"/>
        <color rgb="FF44546A"/>
        <name val="Segoe UI"/>
        <family val="2"/>
        <scheme val="none"/>
      </font>
      <alignment horizontal="center" vertical="center" textRotation="0" wrapText="1" indent="0" justifyLastLine="0" shrinkToFit="0" readingOrder="0"/>
      <border diagonalUp="0" diagonalDown="0" outline="0">
        <left/>
        <right/>
        <top style="thin">
          <color rgb="FFACB9CA"/>
        </top>
        <bottom style="thin">
          <color rgb="FFACB9CA"/>
        </bottom>
      </border>
    </dxf>
    <dxf>
      <border outline="0">
        <left style="thin">
          <color rgb="FFACB9CA"/>
        </left>
        <bottom style="thin">
          <color rgb="FFACB9CA"/>
        </bottom>
      </border>
    </dxf>
    <dxf>
      <font>
        <b val="0"/>
        <i val="0"/>
        <strike val="0"/>
        <condense val="0"/>
        <extend val="0"/>
        <outline val="0"/>
        <shadow val="0"/>
        <u val="none"/>
        <vertAlign val="baseline"/>
        <sz val="10"/>
        <color auto="1"/>
        <name val="Segoe U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rgb="FFFFFFFF"/>
        <name val="Segoe UI"/>
        <family val="2"/>
        <scheme val="none"/>
      </font>
      <numFmt numFmtId="22" formatCode="mmm\-yy"/>
      <fill>
        <patternFill patternType="solid">
          <fgColor rgb="FF000000"/>
          <bgColor rgb="FF8496B0"/>
        </patternFill>
      </fill>
      <alignment horizontal="center" vertical="center" textRotation="0" wrapText="1" indent="0" justifyLastLine="0" shrinkToFit="0" readingOrder="0"/>
      <border diagonalUp="0" diagonalDown="0" outline="0">
        <left style="thin">
          <color rgb="FFACB9CA"/>
        </left>
        <right style="thin">
          <color rgb="FFACB9CA"/>
        </right>
        <top/>
        <bottom/>
      </border>
    </dxf>
    <dxf>
      <font>
        <b val="0"/>
        <i val="0"/>
        <strike val="0"/>
        <condense val="0"/>
        <extend val="0"/>
        <outline val="0"/>
        <shadow val="0"/>
        <u val="none"/>
        <vertAlign val="baseline"/>
        <sz val="9"/>
        <color rgb="FF44546A"/>
        <name val="Segoe UI"/>
        <family val="2"/>
        <scheme val="none"/>
      </font>
      <alignment horizontal="general" vertical="center" textRotation="0" wrapText="1"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9"/>
        <color rgb="FF44546A"/>
        <name val="Segoe UI"/>
        <family val="2"/>
        <scheme val="none"/>
      </font>
      <alignment horizontal="general" vertical="center" textRotation="0" wrapText="1"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9"/>
        <color rgb="FF44546A"/>
        <name val="Segoe UI"/>
        <family val="2"/>
        <scheme val="none"/>
      </font>
      <alignment horizontal="center" vertical="center" textRotation="0" wrapText="1" indent="0" justifyLastLine="0" shrinkToFit="0" readingOrder="0"/>
      <border diagonalUp="0" diagonalDown="0">
        <left style="thin">
          <color rgb="FFACB9CA"/>
        </left>
        <right/>
        <top style="thin">
          <color rgb="FFACB9CA"/>
        </top>
        <bottom style="thin">
          <color rgb="FFACB9CA"/>
        </bottom>
        <vertical/>
        <horizontal/>
      </border>
    </dxf>
    <dxf>
      <font>
        <b val="0"/>
        <i val="0"/>
        <strike val="0"/>
        <condense val="0"/>
        <extend val="0"/>
        <outline val="0"/>
        <shadow val="0"/>
        <u val="none"/>
        <vertAlign val="baseline"/>
        <sz val="9"/>
        <color rgb="FF44546A"/>
        <name val="Segoe UI"/>
        <family val="2"/>
        <scheme val="none"/>
      </font>
      <alignment horizontal="center" vertical="center" textRotation="0" wrapText="1" indent="0" justifyLastLine="0" shrinkToFit="0" readingOrder="0"/>
      <border diagonalUp="0" diagonalDown="0">
        <left/>
        <right/>
        <top style="thin">
          <color rgb="FFACB9CA"/>
        </top>
        <bottom style="thin">
          <color rgb="FFACB9CA"/>
        </bottom>
        <vertical/>
        <horizontal/>
      </border>
    </dxf>
    <dxf>
      <font>
        <b val="0"/>
        <i val="0"/>
        <strike val="0"/>
        <condense val="0"/>
        <extend val="0"/>
        <outline val="0"/>
        <shadow val="0"/>
        <u val="none"/>
        <vertAlign val="baseline"/>
        <sz val="9"/>
        <color rgb="FF44546A"/>
        <name val="Segoe UI"/>
        <family val="2"/>
        <scheme val="none"/>
      </font>
      <alignment horizontal="center" vertical="center" textRotation="0" wrapText="1" indent="0" justifyLastLine="0" shrinkToFit="0" readingOrder="0"/>
      <border diagonalUp="0" diagonalDown="0">
        <left/>
        <right style="thin">
          <color rgb="FFACB9CA"/>
        </right>
        <top style="thin">
          <color rgb="FFACB9CA"/>
        </top>
        <bottom style="thin">
          <color rgb="FFACB9CA"/>
        </bottom>
        <vertical/>
        <horizontal/>
      </border>
    </dxf>
    <dxf>
      <border>
        <top style="medium">
          <color rgb="FFACB9CA"/>
        </top>
      </border>
    </dxf>
    <dxf>
      <font>
        <b/>
      </font>
    </dxf>
    <dxf>
      <border outline="0">
        <left style="thin">
          <color rgb="FFACB9CA"/>
        </left>
        <bottom style="thin">
          <color rgb="FFACB9CA"/>
        </bottom>
      </border>
    </dxf>
    <dxf>
      <font>
        <b val="0"/>
        <i val="0"/>
        <strike val="0"/>
        <condense val="0"/>
        <extend val="0"/>
        <outline val="0"/>
        <shadow val="0"/>
        <u val="none"/>
        <vertAlign val="baseline"/>
        <sz val="10"/>
        <color auto="1"/>
        <name val="Segoe U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rgb="FFFFFFFF"/>
        <name val="Segoe UI"/>
        <family val="2"/>
        <scheme val="none"/>
      </font>
      <numFmt numFmtId="22" formatCode="mmm\-yy"/>
      <fill>
        <patternFill patternType="solid">
          <fgColor rgb="FF000000"/>
          <bgColor rgb="FF44546A"/>
        </patternFill>
      </fill>
      <alignment horizontal="center" vertical="center" textRotation="0" wrapText="1" indent="0" justifyLastLine="0" shrinkToFit="0" readingOrder="0"/>
      <border diagonalUp="0" diagonalDown="0" outline="0">
        <left style="thin">
          <color rgb="FFACB9CA"/>
        </left>
        <right style="thin">
          <color rgb="FFACB9CA"/>
        </right>
        <top/>
        <bottom/>
      </border>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9"/>
        <color rgb="FF44546A"/>
        <name val="Segoe UI"/>
        <family val="2"/>
        <scheme val="none"/>
      </font>
      <numFmt numFmtId="3" formatCode="#,##0"/>
      <alignment horizontal="center" vertical="center" textRotation="0" wrapText="1" indent="0" justifyLastLine="0" shrinkToFit="0" readingOrder="0"/>
      <border diagonalUp="0" diagonalDown="0">
        <left style="thin">
          <color rgb="FFACB9CA"/>
        </left>
        <right/>
        <top style="thin">
          <color rgb="FFACB9CA"/>
        </top>
        <bottom/>
        <vertical/>
        <horizontal/>
      </border>
    </dxf>
    <dxf>
      <font>
        <b val="0"/>
        <i val="0"/>
        <strike val="0"/>
        <condense val="0"/>
        <extend val="0"/>
        <outline val="0"/>
        <shadow val="0"/>
        <u val="none"/>
        <vertAlign val="baseline"/>
        <sz val="9"/>
        <color rgb="FF44546A"/>
        <name val="Segoe UI"/>
        <family val="2"/>
        <scheme val="none"/>
      </font>
      <numFmt numFmtId="3" formatCode="#,##0"/>
      <alignment horizontal="center" vertical="center" textRotation="0" wrapText="1" indent="0" justifyLastLine="0" shrinkToFit="0" readingOrder="0"/>
      <border diagonalUp="0" diagonalDown="0">
        <left/>
        <right style="thin">
          <color rgb="FFACB9CA"/>
        </right>
        <top style="thin">
          <color rgb="FFACB9CA"/>
        </top>
        <bottom style="thin">
          <color rgb="FFACB9CA"/>
        </bottom>
      </border>
    </dxf>
    <dxf>
      <numFmt numFmtId="3" formatCode="#,##0"/>
    </dxf>
    <dxf>
      <border>
        <top style="medium">
          <color rgb="FFACB9CA"/>
        </top>
      </border>
    </dxf>
    <dxf>
      <font>
        <b/>
      </font>
    </dxf>
    <dxf>
      <border outline="0">
        <left style="thin">
          <color rgb="FFACB9CA"/>
        </left>
        <bottom style="thin">
          <color rgb="FFACB9CA"/>
        </bottom>
      </border>
    </dxf>
    <dxf>
      <font>
        <b val="0"/>
        <i val="0"/>
        <strike val="0"/>
        <condense val="0"/>
        <extend val="0"/>
        <outline val="0"/>
        <shadow val="0"/>
        <u val="none"/>
        <vertAlign val="baseline"/>
        <sz val="10"/>
        <color auto="1"/>
        <name val="Segoe U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rgb="FFFFFFFF"/>
        <name val="Segoe UI"/>
        <family val="2"/>
        <scheme val="none"/>
      </font>
      <numFmt numFmtId="22" formatCode="mmm\-yy"/>
      <fill>
        <patternFill patternType="solid">
          <fgColor rgb="FF000000"/>
          <bgColor rgb="FF44546A"/>
        </patternFill>
      </fill>
      <alignment horizontal="center" vertical="center" textRotation="90" wrapText="1" indent="0" justifyLastLine="0" shrinkToFit="0" readingOrder="0"/>
      <border diagonalUp="0" diagonalDown="0" outline="0">
        <left style="thin">
          <color rgb="FFACB9CA"/>
        </left>
        <right style="thin">
          <color rgb="FFACB9CA"/>
        </right>
        <top/>
        <bottom/>
      </border>
    </dxf>
    <dxf>
      <font>
        <b val="0"/>
        <i/>
        <strike val="0"/>
        <condense val="0"/>
        <extend val="0"/>
        <outline val="0"/>
        <shadow val="0"/>
        <u val="none"/>
        <vertAlign val="baseline"/>
        <sz val="11"/>
        <color rgb="FFFFFFFF"/>
        <name val="Segoe UI"/>
        <family val="2"/>
        <scheme val="none"/>
      </font>
      <fill>
        <patternFill patternType="solid">
          <fgColor rgb="FF000000"/>
          <bgColor rgb="FF8496B0"/>
        </patternFill>
      </fill>
      <alignment horizontal="left" vertical="center" textRotation="0" wrapText="1" indent="1" justifyLastLine="0" shrinkToFit="0" readingOrder="0"/>
      <border diagonalUp="0" diagonalDown="0">
        <left style="thin">
          <color rgb="FFACB9CA"/>
        </left>
        <right/>
        <top style="thin">
          <color rgb="FFACB9CA"/>
        </top>
        <bottom style="thin">
          <color rgb="FFACB9CA"/>
        </bottom>
        <vertical/>
        <horizontal/>
      </border>
    </dxf>
    <dxf>
      <font>
        <b/>
        <i val="0"/>
        <strike val="0"/>
        <condense val="0"/>
        <extend val="0"/>
        <outline val="0"/>
        <shadow val="0"/>
        <u val="none"/>
        <vertAlign val="baseline"/>
        <sz val="11"/>
        <color rgb="FFFFFFFF"/>
        <name val="Segoe UI"/>
        <family val="2"/>
        <scheme val="none"/>
      </font>
      <fill>
        <patternFill patternType="solid">
          <fgColor rgb="FF000000"/>
          <bgColor rgb="FF44546A"/>
        </patternFill>
      </fill>
      <alignment horizontal="right" vertical="center" textRotation="0" wrapText="1" indent="1" justifyLastLine="0" shrinkToFit="0" readingOrder="0"/>
      <border diagonalUp="0" diagonalDown="0">
        <left style="thin">
          <color rgb="FFACB9CA"/>
        </left>
        <right/>
        <top style="thin">
          <color rgb="FFACB9CA"/>
        </top>
        <bottom style="thin">
          <color rgb="FFACB9CA"/>
        </bottom>
        <vertical/>
        <horizontal/>
      </border>
    </dxf>
    <dxf>
      <border outline="0">
        <bottom style="thin">
          <color rgb="FFACB9CA"/>
        </bottom>
      </border>
    </dxf>
    <dxf>
      <font>
        <b/>
        <i val="0"/>
        <strike val="0"/>
        <condense val="0"/>
        <extend val="0"/>
        <outline val="0"/>
        <shadow val="0"/>
        <u val="none"/>
        <vertAlign val="baseline"/>
        <sz val="11"/>
        <color theme="3"/>
        <name val="Segoe UI"/>
        <family val="2"/>
        <scheme val="none"/>
      </font>
    </dxf>
  </dxfs>
  <tableStyles count="0" defaultTableStyle="TableStyleMedium2" defaultPivotStyle="PivotStyleLight16"/>
  <colors>
    <mruColors>
      <color rgb="FF44546A"/>
      <color rgb="FF8496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31</xdr:row>
      <xdr:rowOff>114300</xdr:rowOff>
    </xdr:from>
    <xdr:to>
      <xdr:col>6</xdr:col>
      <xdr:colOff>19050</xdr:colOff>
      <xdr:row>41</xdr:row>
      <xdr:rowOff>122472</xdr:rowOff>
    </xdr:to>
    <xdr:pic>
      <xdr:nvPicPr>
        <xdr:cNvPr id="2" name="Picture 1">
          <a:extLst>
            <a:ext uri="{FF2B5EF4-FFF2-40B4-BE49-F238E27FC236}">
              <a16:creationId xmlns:a16="http://schemas.microsoft.com/office/drawing/2014/main" id="{BB01009F-D124-98BA-0A3E-79877EC3A811}"/>
            </a:ext>
          </a:extLst>
        </xdr:cNvPr>
        <xdr:cNvPicPr>
          <a:picLocks noChangeAspect="1"/>
        </xdr:cNvPicPr>
      </xdr:nvPicPr>
      <xdr:blipFill>
        <a:blip xmlns:r="http://schemas.openxmlformats.org/officeDocument/2006/relationships" r:embed="rId1"/>
        <a:stretch>
          <a:fillRect/>
        </a:stretch>
      </xdr:blipFill>
      <xdr:spPr>
        <a:xfrm>
          <a:off x="390525" y="11744325"/>
          <a:ext cx="5800725" cy="182109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0295CA-CB32-4F28-9F1D-98D15F795CC3}" name="SummaryTable" displayName="SummaryTable" ref="C5:D9" totalsRowShown="0" headerRowDxfId="453" tableBorderDxfId="452">
  <autoFilter ref="C5:D9" xr:uid="{920295CA-CB32-4F28-9F1D-98D15F795CC3}">
    <filterColumn colId="0" hiddenButton="1"/>
    <filterColumn colId="1" hiddenButton="1"/>
  </autoFilter>
  <tableColumns count="2">
    <tableColumn id="1" xr3:uid="{CE40FA26-9AD2-4DF0-83AD-BE54CBBB2A11}" name="Application Information" dataDxfId="451"/>
    <tableColumn id="2" xr3:uid="{D1A06951-8577-43CB-8C9E-0CED9669204A}" name="Details" dataDxfId="45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8F8641A-03ED-4478-84A5-AFC83C54ACFC}" name="BenefitsPlanTable" displayName="BenefitsPlanTable" ref="C6:BZ25" totalsRowShown="0" headerRowDxfId="351" dataDxfId="350" tableBorderDxfId="349">
  <autoFilter ref="C6:BZ25" xr:uid="{A8F8641A-03ED-4478-84A5-AFC83C54ACF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autoFilter>
  <tableColumns count="76">
    <tableColumn id="1" xr3:uid="{A32B7A30-FDB9-4D43-A0D8-CB35BCDB50F9}" name="Benefits Reference" dataDxfId="348"/>
    <tableColumn id="2" xr3:uid="{2FA1F0EA-F3F3-4E93-A79A-BB2E7B4ECA35}" name="Benefit Category" dataDxfId="347"/>
    <tableColumn id="58" xr3:uid="{8A28423E-F0A4-4D7A-B590-9B306889A5A3}" name="Benefits Classification" dataDxfId="346"/>
    <tableColumn id="3" xr3:uid="{6E2AFBCE-ED79-4A04-A45F-7E0E64977D99}" name="Improvement Description " dataDxfId="345"/>
    <tableColumn id="4" xr3:uid="{628CD236-051F-4CA5-ADFD-69A8E7DB99A8}" name="Improvement Metric" dataDxfId="344"/>
    <tableColumn id="75" xr3:uid="{C67E62C1-A794-4586-B690-4F29425E69DE}" name="Is data captured and reported" dataDxfId="343"/>
    <tableColumn id="76" xr3:uid="{9A9663EB-541D-441D-9316-27B9B585CDA1}" name="Data Source" dataDxfId="342"/>
    <tableColumn id="5" xr3:uid="{A2285971-1048-402B-B66B-369681BFF6BC}" name="Baseline Measure" dataDxfId="338"/>
    <tableColumn id="72" xr3:uid="{0794B568-554A-4034-B136-30E9035DC5AB}" name="Baseline Date" dataDxfId="341"/>
    <tableColumn id="73" xr3:uid="{232EA6A1-B4A1-4D5A-B3D8-75DD5177EF08}" name="Target Measure" dataDxfId="340"/>
    <tableColumn id="74" xr3:uid="{7B7D5BBA-E271-4CC6-9CB5-46A902BB635F}" name="Target Date" dataDxfId="339"/>
    <tableColumn id="6" xr3:uid="{D9E27B9E-27EF-456C-A039-D91D64E4432E}" name="Apr-26" dataDxfId="337"/>
    <tableColumn id="7" xr3:uid="{AE14685C-7FA8-4879-BEDD-8FEB62D924D9}" name="May-26" dataDxfId="336"/>
    <tableColumn id="8" xr3:uid="{FCCD5B13-8A17-4F9E-9E60-3AB8C2E25307}" name="Jun-26" dataDxfId="335"/>
    <tableColumn id="9" xr3:uid="{941B6079-0BD5-4EA5-9215-B1CA7B55F705}" name="Jul-26" dataDxfId="334"/>
    <tableColumn id="10" xr3:uid="{767E8ADC-0821-4BAC-9CDF-2231F9DFB8C5}" name="Aug-26" dataDxfId="333"/>
    <tableColumn id="11" xr3:uid="{168ECBF1-B3B7-4FDD-A5AE-D633EBFF3931}" name="Sep-26" dataDxfId="332"/>
    <tableColumn id="12" xr3:uid="{991D6384-4F3B-4D9B-B83A-CE27209A0592}" name="Oct-26" dataDxfId="331"/>
    <tableColumn id="13" xr3:uid="{C983E318-4B7F-4653-8712-CEEC422C262F}" name="Nov-26" dataDxfId="330"/>
    <tableColumn id="14" xr3:uid="{64BF0A79-399C-4CCA-BD9D-CD15EC3F83EE}" name="Dec-26" dataDxfId="329"/>
    <tableColumn id="15" xr3:uid="{0D34B52D-503F-4E65-87A8-E30FF8F68FF4}" name="Jan-27" dataDxfId="328"/>
    <tableColumn id="16" xr3:uid="{D4B8525E-04F6-4680-BAE9-2CB3686F5612}" name="Feb-27" dataDxfId="327"/>
    <tableColumn id="17" xr3:uid="{998E511B-A13D-48BF-96E5-42EE5F5C919C}" name="Mar-27" dataDxfId="326"/>
    <tableColumn id="18" xr3:uid="{B2DFD837-3104-4D4E-A687-331FE402F743}" name="26/27 Total" dataDxfId="325">
      <calculatedColumnFormula>IF(COUNTA(N7:Y7)=0,"",SUM(N7:Y7))</calculatedColumnFormula>
    </tableColumn>
    <tableColumn id="19" xr3:uid="{B5D81A43-D96F-4E01-A4AE-0F91DEDAF00F}" name="Apr-27" dataDxfId="324"/>
    <tableColumn id="20" xr3:uid="{6A292BB1-BD6C-4242-B91A-00176A4C0E78}" name="May-27" dataDxfId="323"/>
    <tableColumn id="21" xr3:uid="{D147F869-3DF8-4410-80F5-F5BBC7A618CA}" name="Jun-27" dataDxfId="322"/>
    <tableColumn id="22" xr3:uid="{43B8F6D8-8D62-4B28-B4A4-64A1CD00B226}" name="Jul-27" dataDxfId="321"/>
    <tableColumn id="23" xr3:uid="{D04C52E9-F4AA-4FB2-B6F1-FDD02C6403C1}" name="Aug-27" dataDxfId="320"/>
    <tableColumn id="24" xr3:uid="{B8FB7A12-FDBD-402F-A791-BB5E8BD23F88}" name="Sep-27" dataDxfId="319"/>
    <tableColumn id="25" xr3:uid="{7BE12734-12A8-4FC1-90DE-39721F71B6B8}" name="Oct-27" dataDxfId="318"/>
    <tableColumn id="26" xr3:uid="{57F7DF6F-6A73-4DE0-954D-3F184C701704}" name="Nov-27" dataDxfId="317"/>
    <tableColumn id="27" xr3:uid="{0D8148F5-9F43-495D-A571-1CB0F5A2ECFF}" name="Dec-27" dataDxfId="316"/>
    <tableColumn id="28" xr3:uid="{E7F2240F-6E03-41C8-9623-522528B7092C}" name="Jan-28" dataDxfId="315"/>
    <tableColumn id="29" xr3:uid="{6DDC76C0-086E-4CEF-BC85-61F80EAF7E40}" name="Feb-28" dataDxfId="314"/>
    <tableColumn id="30" xr3:uid="{86F330B2-7276-4AC7-BAC7-93158281B75D}" name="Mar-28" dataDxfId="313"/>
    <tableColumn id="31" xr3:uid="{AF2F5EA5-3DAD-476C-9D16-89CA17ED2D93}" name="27/28 Total" dataDxfId="312">
      <calculatedColumnFormula>IF(COUNTA(AA7:AL7)=0,"",SUM(AA7:AL7))</calculatedColumnFormula>
    </tableColumn>
    <tableColumn id="32" xr3:uid="{45C9388D-9C79-4590-9CB7-537FEC04D572}" name="Apr-28" dataDxfId="311"/>
    <tableColumn id="33" xr3:uid="{FAB30AB8-8CA8-4ED3-ADF5-FD43D744EDF6}" name="May-28" dataDxfId="310"/>
    <tableColumn id="34" xr3:uid="{6A0D369B-AC3B-42F6-BDB0-BB5D81DDC4DF}" name="Jun-28" dataDxfId="309"/>
    <tableColumn id="35" xr3:uid="{CDB59519-8A6D-49CF-9AB5-D74CE6B5518B}" name="Jul-28" dataDxfId="308"/>
    <tableColumn id="36" xr3:uid="{74E59A78-3684-4C1B-9531-64C99CD84E4D}" name="Aug-28" dataDxfId="307"/>
    <tableColumn id="37" xr3:uid="{216B3983-4E86-4E8A-8573-9C03CCBD4C22}" name="Sep-28" dataDxfId="306"/>
    <tableColumn id="38" xr3:uid="{95744338-6199-4C34-B8E2-40DEA7C8F15F}" name="Oct-28" dataDxfId="305"/>
    <tableColumn id="39" xr3:uid="{7F87ACFE-D3B0-42BB-9DF3-0CADB595B63A}" name="Nov-28" dataDxfId="304"/>
    <tableColumn id="40" xr3:uid="{02685BC5-ABD9-4711-B99A-5259513F1DA4}" name="Dec-28" dataDxfId="303"/>
    <tableColumn id="41" xr3:uid="{42244990-E407-4F72-8510-FFBC3AF61AC7}" name="Jan-29" dataDxfId="302"/>
    <tableColumn id="42" xr3:uid="{D2E2799E-31F1-4B5A-9E75-5D79BB4FA415}" name="Feb-29" dataDxfId="301"/>
    <tableColumn id="43" xr3:uid="{F103186C-CC14-4EF8-B2C0-99F33FB76262}" name="Mar-29" dataDxfId="300"/>
    <tableColumn id="44" xr3:uid="{A71F6834-A024-420D-BA6F-75BD8372CD91}" name="28/29 Total" dataDxfId="299">
      <calculatedColumnFormula>IF(COUNTA(AN7:AY7)=0,"",SUM(AN7:AY7))</calculatedColumnFormula>
    </tableColumn>
    <tableColumn id="45" xr3:uid="{01C34F08-0237-4D24-B0FB-20D6478E728A}" name="Apr-29" dataDxfId="298"/>
    <tableColumn id="46" xr3:uid="{1C4873CB-CD1E-4952-9BFE-242C74FC0F89}" name="May-29" dataDxfId="297"/>
    <tableColumn id="47" xr3:uid="{0DA51299-6A71-45AA-97F2-AB3D43881934}" name="Jun-29" dataDxfId="296"/>
    <tableColumn id="48" xr3:uid="{2ED0609A-D915-4F65-B842-864EC37CC5EB}" name="Jul-29" dataDxfId="295"/>
    <tableColumn id="49" xr3:uid="{2ECEBE11-A2C0-448B-A7AB-D52752AB126C}" name="Aug-29" dataDxfId="294"/>
    <tableColumn id="50" xr3:uid="{34ECD207-1498-4EBB-A225-C08BBD91E338}" name="Sep-29" dataDxfId="293"/>
    <tableColumn id="51" xr3:uid="{FBE8FDB7-22CE-422D-9939-2F6054291544}" name="Oct-29" dataDxfId="292"/>
    <tableColumn id="52" xr3:uid="{638F2E58-1AED-45BF-AEC3-F147A708173A}" name="Nov-29" dataDxfId="291"/>
    <tableColumn id="53" xr3:uid="{AC02CE9F-2798-49B3-A096-B40BCE4E15BE}" name="Dec-29" dataDxfId="290"/>
    <tableColumn id="54" xr3:uid="{534643CC-E7C9-43E2-A583-599D0A5BCFAC}" name="Jan-30" dataDxfId="289"/>
    <tableColumn id="55" xr3:uid="{D45900DD-D6A6-41AC-9EFF-6E1F9678797A}" name="Feb-30" dataDxfId="288"/>
    <tableColumn id="56" xr3:uid="{DF084956-E4E5-48B8-BF53-CCAD93553401}" name="Mar-30" dataDxfId="287"/>
    <tableColumn id="57" xr3:uid="{516BB2B6-66D1-4C77-989B-8E4BB0E37AB6}" name="29/30 Total" dataDxfId="286">
      <calculatedColumnFormula>IF(COUNTA(BA7:BL7)=0,"",SUM(BA7:BL7))</calculatedColumnFormula>
    </tableColumn>
    <tableColumn id="59" xr3:uid="{719B66C5-27D3-4057-9FCD-563BFA7475DD}" name="Apr-30" dataDxfId="285"/>
    <tableColumn id="60" xr3:uid="{D7739A12-71E1-4729-9B7B-A9273799323B}" name="May-30" dataDxfId="284"/>
    <tableColumn id="61" xr3:uid="{B70DF530-243E-4D90-A2F5-32F01C93C65B}" name="Jun-30" dataDxfId="283"/>
    <tableColumn id="62" xr3:uid="{AD88B469-4D78-4B69-AB97-89170F5DE132}" name="Jul-30" dataDxfId="282"/>
    <tableColumn id="63" xr3:uid="{5381121B-BF2B-48BE-BDA7-CEC480EDE391}" name="Aug-30" dataDxfId="281"/>
    <tableColumn id="64" xr3:uid="{717A2DEA-667B-4707-9591-0DCAE0C2E795}" name="Sep-30" dataDxfId="280"/>
    <tableColumn id="65" xr3:uid="{B6EE6075-F059-4DCD-9DD6-E27BB1DDBB69}" name="Oct-30" dataDxfId="279"/>
    <tableColumn id="66" xr3:uid="{7C13E05E-3E01-4759-AC00-280A0650B290}" name="Nov-30" dataDxfId="278"/>
    <tableColumn id="67" xr3:uid="{49CE024E-0182-48B5-A302-8E7EB46D7711}" name="Dec-30" dataDxfId="277"/>
    <tableColumn id="68" xr3:uid="{40F7A07C-CE28-49E2-A340-D6ADDA7480C8}" name="Jan-31" dataDxfId="276"/>
    <tableColumn id="69" xr3:uid="{AFD26105-BA58-4AB4-99F4-C7DAAC6D8E0C}" name="Feb-31" dataDxfId="275"/>
    <tableColumn id="70" xr3:uid="{9C0AC84D-DAA6-425D-AB82-E5D569CA5AC8}" name="Mar-31" dataDxfId="274"/>
    <tableColumn id="71" xr3:uid="{5D8ABC7B-BD8F-4042-9423-407699350D53}" name="30/31 Total" dataDxfId="273">
      <calculatedColumnFormula>IF(COUNTA(BN7:BY7)=0,"",SUM(BN7:BY7))</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832A8D-47C1-4BC9-84BF-D47034CA50A6}" name="InvestmentPlanTable" displayName="InvestmentPlanTable" ref="C6:BS15" totalsRowCount="1" headerRowDxfId="449" dataDxfId="448" totalsRowDxfId="446" tableBorderDxfId="447" totalsRowBorderDxfId="445">
  <autoFilter ref="C6:BS14" xr:uid="{2D832A8D-47C1-4BC9-84BF-D47034CA50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autoFilter>
  <tableColumns count="69">
    <tableColumn id="1" xr3:uid="{63CD567D-CABF-4824-8305-D6663F264798}" name="Investment Category" totalsRowLabel="Total" dataDxfId="444" totalsRowDxfId="140"/>
    <tableColumn id="70" xr3:uid="{4C0BEE2B-AAC3-49E7-8643-3F96E90EC925}" name="Investment Description/Justification" dataDxfId="443" totalsRowDxfId="139"/>
    <tableColumn id="2" xr3:uid="{CD70C9BC-1B9D-4762-8E7C-599B231E72B1}" name="Investment Value (£000)" totalsRowFunction="sum" dataDxfId="442" totalsRowDxfId="138">
      <calculatedColumnFormula>SUM(InvestmentPlanTable[[#This Row],[26/27 Total]]+InvestmentPlanTable[[#This Row],[27/28 Total]]+InvestmentPlanTable[[#This Row],[28/29 Total]]+InvestmentPlanTable[[#This Row],[29/30 Total]]+InvestmentPlanTable[[#This Row],[30/31 Total]])</calculatedColumnFormula>
    </tableColumn>
    <tableColumn id="3" xr3:uid="{5AB25DCA-7EDA-423B-BBA0-EA95F029C308}" name="Costs Type (pick from list)" dataDxfId="441" totalsRowDxfId="137"/>
    <tableColumn id="5" xr3:uid="{212704AA-DDA6-4B4C-8805-A1E473B85258}" name="Apr-26" totalsRowFunction="sum" dataDxfId="440" totalsRowDxfId="136"/>
    <tableColumn id="6" xr3:uid="{4E69CA9D-CA89-447A-8E2E-48CAEF8AE088}" name="May-26" totalsRowFunction="sum" dataDxfId="439" totalsRowDxfId="135"/>
    <tableColumn id="7" xr3:uid="{5F8C0B61-169A-430E-B32B-D1E414978975}" name="Jun-26" totalsRowFunction="sum" dataDxfId="438" totalsRowDxfId="134"/>
    <tableColumn id="8" xr3:uid="{6C10A043-D17D-4B2F-94F2-4CAA3F6520DF}" name="Jul-26" totalsRowFunction="sum" dataDxfId="437" totalsRowDxfId="133"/>
    <tableColumn id="9" xr3:uid="{6919BE11-37EF-42DE-891D-A39FDB690ABC}" name="Aug-26" totalsRowFunction="sum" dataDxfId="436" totalsRowDxfId="132"/>
    <tableColumn id="10" xr3:uid="{7DE85217-1937-4A80-B7A2-3716C3C12A2E}" name="Sep-26" totalsRowFunction="sum" dataDxfId="435" totalsRowDxfId="131"/>
    <tableColumn id="11" xr3:uid="{E3A6578D-1725-4198-8244-AF37F4AEF09C}" name="Oct-26" totalsRowFunction="sum" dataDxfId="434" totalsRowDxfId="130"/>
    <tableColumn id="12" xr3:uid="{0818F157-8488-4A53-AD12-A653578231CC}" name="Nov-26" totalsRowFunction="sum" dataDxfId="433" totalsRowDxfId="129"/>
    <tableColumn id="13" xr3:uid="{663DA1D8-F897-45BB-AD50-395DE3CDBD26}" name="Dec-26" totalsRowFunction="sum" dataDxfId="432" totalsRowDxfId="128"/>
    <tableColumn id="14" xr3:uid="{5D687145-5E37-4B3B-A04C-4CBA4F2E16FE}" name="Jan-27" totalsRowFunction="sum" dataDxfId="431" totalsRowDxfId="127"/>
    <tableColumn id="15" xr3:uid="{921F4A3E-7D1B-4833-9BBF-80D36E616105}" name="Feb-27" totalsRowFunction="sum" dataDxfId="430" totalsRowDxfId="126"/>
    <tableColumn id="16" xr3:uid="{384473F8-5B7E-415B-A86A-18A5683C1BBA}" name="Mar-27" totalsRowFunction="sum" dataDxfId="429" totalsRowDxfId="125"/>
    <tableColumn id="17" xr3:uid="{5BC2C550-E92A-47ED-9FF5-B2BE3DF684C4}" name="26/27 Total" totalsRowFunction="sum" dataDxfId="428" totalsRowDxfId="124">
      <calculatedColumnFormula>SUM(G7:R7)</calculatedColumnFormula>
    </tableColumn>
    <tableColumn id="18" xr3:uid="{2CF7C4EF-FFD8-4D4D-8DED-01A260F2FC7D}" name="Apr-27" totalsRowFunction="sum" dataDxfId="427" totalsRowDxfId="123"/>
    <tableColumn id="19" xr3:uid="{90161BD2-ED18-4484-A256-716E9A2CBEDB}" name="May-27" totalsRowFunction="sum" dataDxfId="426" totalsRowDxfId="122"/>
    <tableColumn id="20" xr3:uid="{F9E85616-217B-41E1-B620-F39963B307A3}" name="Jun-27" totalsRowFunction="sum" dataDxfId="425" totalsRowDxfId="121"/>
    <tableColumn id="21" xr3:uid="{DCEADC65-8DF7-48A3-A8B6-3B8DAE549AA1}" name="Jul-27" totalsRowFunction="sum" dataDxfId="424" totalsRowDxfId="120"/>
    <tableColumn id="22" xr3:uid="{8DFC735B-8613-43E3-BD71-2CB745A754CF}" name="Aug-27" totalsRowFunction="sum" dataDxfId="423" totalsRowDxfId="119"/>
    <tableColumn id="23" xr3:uid="{C58146B7-ABF9-44DD-AB24-4F04AC495CED}" name="Sep-27" totalsRowFunction="sum" dataDxfId="422" totalsRowDxfId="118"/>
    <tableColumn id="24" xr3:uid="{F6074173-A54A-4B0E-8BD2-0A363CF98971}" name="Oct-27" totalsRowFunction="sum" dataDxfId="421" totalsRowDxfId="117"/>
    <tableColumn id="25" xr3:uid="{557A01EA-A8C9-4DDA-A153-88A7B2C17001}" name="Nov-27" totalsRowFunction="sum" dataDxfId="420" totalsRowDxfId="116"/>
    <tableColumn id="26" xr3:uid="{592B2DD4-A783-4D81-94B5-3B61E6348290}" name="Dec-27" totalsRowFunction="sum" dataDxfId="419" totalsRowDxfId="115"/>
    <tableColumn id="27" xr3:uid="{D98891E7-4657-4904-8FA7-CBA77A9EAE91}" name="Jan-28" totalsRowFunction="sum" dataDxfId="418" totalsRowDxfId="114"/>
    <tableColumn id="28" xr3:uid="{825F85CF-F290-44D9-8A14-428E455CC1D5}" name="Feb-28" totalsRowFunction="sum" dataDxfId="417" totalsRowDxfId="113"/>
    <tableColumn id="29" xr3:uid="{3116C5B0-E0D0-470E-9ABF-C3836780B2E6}" name="Mar-28" totalsRowFunction="sum" dataDxfId="416" totalsRowDxfId="112"/>
    <tableColumn id="30" xr3:uid="{0D724C56-5263-48DA-9B8B-3D51FD1BC868}" name="27/28 Total" totalsRowFunction="sum" dataDxfId="415" totalsRowDxfId="111">
      <calculatedColumnFormula>SUM(T7:AE7)</calculatedColumnFormula>
    </tableColumn>
    <tableColumn id="31" xr3:uid="{CAA0F255-5B2C-4C67-A7A1-E21C2CD31915}" name="Apr-28" totalsRowFunction="sum" dataDxfId="414" totalsRowDxfId="110"/>
    <tableColumn id="32" xr3:uid="{2860E552-7D73-4857-8B55-4402889C55B3}" name="May-28" totalsRowFunction="sum" dataDxfId="413" totalsRowDxfId="109"/>
    <tableColumn id="33" xr3:uid="{631D4E9B-09E1-4148-B9C4-208E18D18733}" name="Jun-28" totalsRowFunction="sum" dataDxfId="412" totalsRowDxfId="108"/>
    <tableColumn id="34" xr3:uid="{61A85F84-BA88-45CE-8632-F375998EB0FA}" name="Jul-28" totalsRowFunction="sum" dataDxfId="411" totalsRowDxfId="107"/>
    <tableColumn id="35" xr3:uid="{98186123-E8C7-4583-B676-770C71892D20}" name="Aug-28" totalsRowFunction="sum" dataDxfId="410" totalsRowDxfId="106"/>
    <tableColumn id="36" xr3:uid="{5AED520B-8553-44A3-AFCB-FD03B98990A5}" name="Sep-28" totalsRowFunction="sum" dataDxfId="409" totalsRowDxfId="105"/>
    <tableColumn id="37" xr3:uid="{94B32E4E-3947-4655-A98A-DE9E67D3D7ED}" name="Oct-28" totalsRowFunction="sum" dataDxfId="408" totalsRowDxfId="104"/>
    <tableColumn id="38" xr3:uid="{54EDC08A-8B17-4DC5-9A89-CBA7423DD890}" name="Nov-28" totalsRowFunction="sum" dataDxfId="407" totalsRowDxfId="103"/>
    <tableColumn id="39" xr3:uid="{1FB1077B-5845-4352-A5A4-3CBD2B4210CD}" name="Dec-28" totalsRowFunction="sum" dataDxfId="406" totalsRowDxfId="102"/>
    <tableColumn id="40" xr3:uid="{FFA036ED-340B-4FF3-B15B-A6CC0F640297}" name="Jan-29" totalsRowFunction="sum" dataDxfId="405" totalsRowDxfId="101"/>
    <tableColumn id="41" xr3:uid="{EE8A7592-104F-4B40-97AD-DFA297145B28}" name="Feb-29" totalsRowFunction="sum" dataDxfId="404" totalsRowDxfId="100"/>
    <tableColumn id="42" xr3:uid="{9DEE38B1-53F6-4AC4-AA9A-7F28A8C5032B}" name="Mar-29" totalsRowFunction="sum" dataDxfId="403" totalsRowDxfId="99"/>
    <tableColumn id="43" xr3:uid="{56995E11-9ACF-4867-9B4F-3BFBF193CD10}" name="28/29 Total" totalsRowFunction="sum" dataDxfId="402" totalsRowDxfId="98">
      <calculatedColumnFormula>SUM(AG7:AR7)</calculatedColumnFormula>
    </tableColumn>
    <tableColumn id="44" xr3:uid="{898440BB-3505-4784-84C6-1E09290C31E8}" name="Apr-29" totalsRowFunction="sum" dataDxfId="401" totalsRowDxfId="97"/>
    <tableColumn id="45" xr3:uid="{C5940394-ADA9-461C-BE8F-F5BE2CC81B35}" name="May-29" totalsRowFunction="sum" dataDxfId="400" totalsRowDxfId="96"/>
    <tableColumn id="46" xr3:uid="{666F103E-3754-4B7A-BBF7-C721CBEF251F}" name="Jun-29" totalsRowFunction="sum" dataDxfId="399" totalsRowDxfId="95"/>
    <tableColumn id="47" xr3:uid="{21771D75-79CD-43B0-BEAC-5BA5596C549F}" name="Jul-29" totalsRowFunction="sum" dataDxfId="398" totalsRowDxfId="94"/>
    <tableColumn id="48" xr3:uid="{E6BFD3B5-2128-4C77-97CC-AEF0F0C86C11}" name="Aug-29" totalsRowFunction="sum" dataDxfId="397" totalsRowDxfId="93"/>
    <tableColumn id="49" xr3:uid="{14A3DEBD-C752-4F31-AF45-17FF3FE94DCF}" name="Sep-29" totalsRowFunction="sum" dataDxfId="396" totalsRowDxfId="92"/>
    <tableColumn id="50" xr3:uid="{023817A8-0957-4C61-80B3-DB403E3EF4FB}" name="Oct-29" totalsRowFunction="sum" dataDxfId="395" totalsRowDxfId="91"/>
    <tableColumn id="51" xr3:uid="{2A23ACC3-5CE3-4B5C-A779-FFE51DA7C1F8}" name="Nov-29" totalsRowFunction="sum" dataDxfId="394" totalsRowDxfId="90"/>
    <tableColumn id="52" xr3:uid="{AC734C69-BEE4-4CCE-A6EF-C971D3079CBB}" name="Dec-29" totalsRowFunction="sum" dataDxfId="393" totalsRowDxfId="89"/>
    <tableColumn id="53" xr3:uid="{12BCA319-3EF2-45D2-8DB0-8A47CBEC9DDF}" name="Jan-30" totalsRowFunction="sum" dataDxfId="392" totalsRowDxfId="88"/>
    <tableColumn id="54" xr3:uid="{E08EF83E-DFE5-4A36-9B70-D9231D032175}" name="Feb-30" totalsRowFunction="sum" dataDxfId="391" totalsRowDxfId="87"/>
    <tableColumn id="55" xr3:uid="{10409EE6-F1A8-45E0-B1B3-5F2F21142B51}" name="Mar-30" totalsRowFunction="sum" dataDxfId="390" totalsRowDxfId="86"/>
    <tableColumn id="56" xr3:uid="{42F9A661-22DC-4891-B1D8-6A9B06FA5D8B}" name="29/30 Total" totalsRowFunction="sum" dataDxfId="389" totalsRowDxfId="85">
      <calculatedColumnFormula>SUM(AT7:BE7)</calculatedColumnFormula>
    </tableColumn>
    <tableColumn id="57" xr3:uid="{4EF67D60-95E5-4A3A-ACC6-BB9321858F7A}" name="Apr-30" totalsRowFunction="sum" dataDxfId="388" totalsRowDxfId="84"/>
    <tableColumn id="58" xr3:uid="{21E87585-E2DB-4D88-9C61-A0A40CB20507}" name="May-30" totalsRowFunction="sum" dataDxfId="387" totalsRowDxfId="83"/>
    <tableColumn id="59" xr3:uid="{204F9B04-B4A7-48C8-A2C9-9FF290DA2A02}" name="Jun-30" totalsRowFunction="sum" dataDxfId="386" totalsRowDxfId="82"/>
    <tableColumn id="60" xr3:uid="{424C5632-2D27-437F-A097-1BFFCE65B60C}" name="Jul-30" totalsRowFunction="sum" dataDxfId="385" totalsRowDxfId="81"/>
    <tableColumn id="61" xr3:uid="{08A34EC4-949E-4050-BCAF-BE6ED1602BDA}" name="Aug-30" totalsRowFunction="sum" dataDxfId="384" totalsRowDxfId="80"/>
    <tableColumn id="62" xr3:uid="{9BE63D11-8337-454F-AD58-FB2802DF20A7}" name="Sep-30" totalsRowFunction="sum" dataDxfId="383" totalsRowDxfId="79"/>
    <tableColumn id="63" xr3:uid="{AFB8AB64-022F-4C0B-B311-AE5008E44A3B}" name="Oct-30" totalsRowFunction="sum" dataDxfId="382" totalsRowDxfId="78"/>
    <tableColumn id="64" xr3:uid="{F8CE02A8-51CE-4B14-97F2-539293A46C21}" name="Nov-30" totalsRowFunction="sum" dataDxfId="381" totalsRowDxfId="77"/>
    <tableColumn id="65" xr3:uid="{2565C3E2-54A0-4226-91A8-F9C7F5A62F52}" name="Dec-30" totalsRowFunction="sum" dataDxfId="380" totalsRowDxfId="76"/>
    <tableColumn id="66" xr3:uid="{2B563171-22D1-4DC3-B2B6-399ED454BAFF}" name="Jan-31" totalsRowFunction="sum" dataDxfId="379" totalsRowDxfId="75"/>
    <tableColumn id="67" xr3:uid="{874BC80B-BFF1-44B6-8753-DABA1A0C04DF}" name="Feb-31" totalsRowFunction="sum" dataDxfId="378" totalsRowDxfId="74"/>
    <tableColumn id="68" xr3:uid="{9A2BA22B-A27E-49DF-BA72-B082EFB73DCE}" name="Mar-31" totalsRowFunction="sum" dataDxfId="377" totalsRowDxfId="73"/>
    <tableColumn id="69" xr3:uid="{B2C5C047-C1B3-45BF-9579-C206045137EE}" name="30/31 Total" totalsRowFunction="sum" dataDxfId="376" totalsRowDxfId="72">
      <calculatedColumnFormula>SUM(BG7:BR7)</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8B9E6C4-CA58-4668-9C09-6F37709C23E9}" name="SavingPlanTable" displayName="SavingPlanTable" ref="C13:BU26" totalsRowCount="1" headerRowDxfId="375" dataDxfId="374" totalsRowDxfId="372" tableBorderDxfId="373" totalsRowBorderDxfId="371">
  <autoFilter ref="C13:BU25" xr:uid="{E8B9E6C4-CA58-4668-9C09-6F37709C23E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autoFilter>
  <tableColumns count="71">
    <tableColumn id="1" xr3:uid="{57580565-47C6-4341-94A3-93386B770A50}" name="Savings Category" totalsRowLabel="Total" dataDxfId="370" totalsRowDxfId="70"/>
    <tableColumn id="70" xr3:uid="{7B056520-1817-4B9C-9C6E-144DDCB449FC}" name="Savings Description" dataDxfId="369" totalsRowDxfId="69"/>
    <tableColumn id="71" xr3:uid="{1F271E33-4BB0-4B5B-AF94-0C0C3F74CF08}" name="WTE Reduction" dataDxfId="368" totalsRowDxfId="68"/>
    <tableColumn id="2" xr3:uid="{A6DE7CE6-DD33-43E0-AB4E-59F7343AFC15}" name="Savings Action" dataDxfId="367" totalsRowDxfId="67"/>
    <tableColumn id="3" xr3:uid="{2BCB9A7D-00EA-4982-951A-71A7498F3557}" name="Gross Savings (£000)" totalsRowFunction="sum" dataDxfId="141" totalsRowDxfId="66">
      <calculatedColumnFormula>SUM(SavingPlanTable[[#This Row],[26/27 Total]]+SavingPlanTable[[#This Row],[27/28 Total]]+SavingPlanTable[[#This Row],[29/30 Total]]+SavingPlanTable[[#This Row],[30/31 Total]]+SavingPlanTable[[#This Row],[28/29 Total]])</calculatedColumnFormula>
    </tableColumn>
    <tableColumn id="4" xr3:uid="{3D9F3ADA-AF60-424D-AFCE-F03F4368E8C3}" name="Savings Type (pick from list)" dataDxfId="366" totalsRowDxfId="65"/>
    <tableColumn id="5" xr3:uid="{29325DE4-6F08-47AA-B788-C39EBD527F67}" name="Apr-26" totalsRowFunction="sum" dataDxfId="272" totalsRowDxfId="64"/>
    <tableColumn id="6" xr3:uid="{75FC6C67-CDED-4FBD-8CF2-AC4EB674BE67}" name="May-26" totalsRowFunction="sum" dataDxfId="271" totalsRowDxfId="63"/>
    <tableColumn id="7" xr3:uid="{B319F95F-C2E5-4E82-9AC1-CB00E20DE776}" name="Jun-26" totalsRowFunction="sum" dataDxfId="270" totalsRowDxfId="62"/>
    <tableColumn id="8" xr3:uid="{9DE4DD03-7467-461B-A035-BAA19327398B}" name="Jul-26" totalsRowFunction="sum" dataDxfId="269" totalsRowDxfId="61"/>
    <tableColumn id="9" xr3:uid="{7961D6BF-B129-4CD5-BDCC-6E9DD1CFF9F5}" name="Aug-26" totalsRowFunction="sum" dataDxfId="268" totalsRowDxfId="60"/>
    <tableColumn id="10" xr3:uid="{665F8B24-F359-49EC-8F92-137FA38A8216}" name="Sep-26" totalsRowFunction="sum" dataDxfId="267" totalsRowDxfId="59"/>
    <tableColumn id="11" xr3:uid="{6371880E-1C69-4A70-A4C1-599A69085757}" name="Oct-26" totalsRowFunction="sum" dataDxfId="266" totalsRowDxfId="58"/>
    <tableColumn id="12" xr3:uid="{8B9B543B-5F01-4538-966D-D5E42456CB4F}" name="Nov-26" totalsRowFunction="sum" dataDxfId="265" totalsRowDxfId="57"/>
    <tableColumn id="13" xr3:uid="{9DA240C9-1712-47A1-A287-6B1DD8C2CF47}" name="Dec-26" totalsRowFunction="sum" dataDxfId="264" totalsRowDxfId="56"/>
    <tableColumn id="14" xr3:uid="{62987C8F-D766-45EC-8E9D-A2DF2293CC51}" name="Jan-27" totalsRowFunction="sum" dataDxfId="263" totalsRowDxfId="55"/>
    <tableColumn id="15" xr3:uid="{21611C50-632C-4566-8978-75E1A76BA6CB}" name="Feb-27" totalsRowFunction="sum" dataDxfId="262" totalsRowDxfId="54"/>
    <tableColumn id="16" xr3:uid="{0BE68D51-C2A2-45A9-B91E-BD911389F933}" name="Mar-27" totalsRowFunction="sum" dataDxfId="261" totalsRowDxfId="53"/>
    <tableColumn id="17" xr3:uid="{AD7ABD26-1C0F-4C83-B3E3-9950C6BF851D}" name="26/27 Total" totalsRowFunction="sum" dataDxfId="260" totalsRowDxfId="52">
      <calculatedColumnFormula>SUM(I14:T14)</calculatedColumnFormula>
    </tableColumn>
    <tableColumn id="18" xr3:uid="{03E66920-F483-4AE8-B369-7F3DEFDC39FB}" name="Apr-27" totalsRowFunction="sum" dataDxfId="259" totalsRowDxfId="51"/>
    <tableColumn id="19" xr3:uid="{19A2738A-6CA7-41BF-A4D8-D5DFC04D5C03}" name="May-27" totalsRowFunction="sum" dataDxfId="258" totalsRowDxfId="50"/>
    <tableColumn id="20" xr3:uid="{C42313FC-53BC-4A55-B502-A92F90C8F57C}" name="Jun-27" totalsRowFunction="sum" dataDxfId="257" totalsRowDxfId="49"/>
    <tableColumn id="21" xr3:uid="{907EB52E-70CE-4EB2-BEC8-084B1F4A5F77}" name="Jul-27" totalsRowFunction="sum" dataDxfId="256" totalsRowDxfId="48"/>
    <tableColumn id="22" xr3:uid="{53DE345C-15F5-4FF0-B2F4-8621B389880A}" name="Aug-27" totalsRowFunction="sum" dataDxfId="255" totalsRowDxfId="47"/>
    <tableColumn id="23" xr3:uid="{55F93EFB-8D07-4280-95A0-614241B0858E}" name="Sep-27" totalsRowFunction="sum" dataDxfId="254" totalsRowDxfId="46"/>
    <tableColumn id="24" xr3:uid="{EE8EA9D4-BFB2-460E-B7F3-F3EF0016B803}" name="Oct-27" totalsRowFunction="sum" dataDxfId="253" totalsRowDxfId="45"/>
    <tableColumn id="25" xr3:uid="{7766BE6E-31FC-4A1D-AE05-B23C6EE49BD1}" name="Nov-27" totalsRowFunction="sum" dataDxfId="252" totalsRowDxfId="44"/>
    <tableColumn id="26" xr3:uid="{D123B39F-5E45-4201-890B-1480CCC161CB}" name="Dec-27" totalsRowFunction="sum" dataDxfId="251" totalsRowDxfId="43"/>
    <tableColumn id="27" xr3:uid="{94A60949-778A-4989-82DC-E9E2DD00DEAB}" name="Jan-28" totalsRowFunction="sum" dataDxfId="250" totalsRowDxfId="42"/>
    <tableColumn id="28" xr3:uid="{09A6DDF3-BFE5-4392-904A-53AE8622A90F}" name="Feb-28" totalsRowFunction="sum" dataDxfId="249" totalsRowDxfId="41"/>
    <tableColumn id="29" xr3:uid="{F7C0BCA1-D7E1-4ECB-83AB-48466AECEC94}" name="Mar-28" totalsRowFunction="sum" dataDxfId="248" totalsRowDxfId="40"/>
    <tableColumn id="30" xr3:uid="{0E13366A-1629-42BF-B8AB-018678A50F9A}" name="27/28 Total" totalsRowFunction="sum" dataDxfId="247" totalsRowDxfId="39">
      <calculatedColumnFormula>SUM(V14:AG14)</calculatedColumnFormula>
    </tableColumn>
    <tableColumn id="31" xr3:uid="{EA4FF149-5325-4AC8-A15B-C10B036DD9E0}" name="Apr-28" totalsRowFunction="sum" dataDxfId="246" totalsRowDxfId="38"/>
    <tableColumn id="32" xr3:uid="{6BC8B24F-A1C4-49FB-9E78-3DE540D48103}" name="May-28" totalsRowFunction="sum" dataDxfId="245" totalsRowDxfId="37"/>
    <tableColumn id="33" xr3:uid="{4C635F47-2803-4785-85CF-82858DA22738}" name="Jun-28" totalsRowFunction="sum" dataDxfId="244" totalsRowDxfId="36"/>
    <tableColumn id="34" xr3:uid="{FB2FD1AF-F928-4B65-9EC7-1B3C318DAD9F}" name="Jul-28" totalsRowFunction="sum" dataDxfId="243" totalsRowDxfId="35"/>
    <tableColumn id="35" xr3:uid="{9D4ECA79-8144-4D87-A6C9-02EAE204DEE6}" name="Aug-28" totalsRowFunction="sum" dataDxfId="242" totalsRowDxfId="34"/>
    <tableColumn id="36" xr3:uid="{CF35AE1A-EB61-490D-AC1F-5DCC36856A3C}" name="Sep-28" totalsRowFunction="sum" dataDxfId="241" totalsRowDxfId="33"/>
    <tableColumn id="37" xr3:uid="{135E87CF-821B-4E04-BF31-EED86CC2B3B5}" name="Oct-28" totalsRowFunction="sum" dataDxfId="240" totalsRowDxfId="32"/>
    <tableColumn id="38" xr3:uid="{326021BD-28D5-4D06-A028-5564D32420EE}" name="Nov-28" totalsRowFunction="sum" dataDxfId="239" totalsRowDxfId="31"/>
    <tableColumn id="39" xr3:uid="{F053066D-2F7A-4438-92B2-04BB54A8C1FF}" name="Dec-28" totalsRowFunction="sum" dataDxfId="238" totalsRowDxfId="30"/>
    <tableColumn id="40" xr3:uid="{6B054470-2F06-4767-8DE5-CA9EE843A44B}" name="Jan-29" totalsRowFunction="sum" dataDxfId="237" totalsRowDxfId="29"/>
    <tableColumn id="41" xr3:uid="{48E41BC7-3E12-4B3F-8F45-818227DD154F}" name="Feb-29" totalsRowFunction="sum" dataDxfId="236" totalsRowDxfId="28"/>
    <tableColumn id="42" xr3:uid="{02B498F3-DFC8-4866-8237-1D7EB464F0BC}" name="Mar-29" totalsRowFunction="sum" dataDxfId="235" totalsRowDxfId="27"/>
    <tableColumn id="43" xr3:uid="{8B588FF0-4FD4-4E2F-BF2B-E96E51B1ACEF}" name="28/29 Total" totalsRowFunction="sum" dataDxfId="234" totalsRowDxfId="26">
      <calculatedColumnFormula>SUM(AI14:AT14)</calculatedColumnFormula>
    </tableColumn>
    <tableColumn id="44" xr3:uid="{7774F0BB-D27C-43DF-932F-91D99DE712DE}" name="Apr-29" totalsRowFunction="sum" dataDxfId="233" totalsRowDxfId="25"/>
    <tableColumn id="45" xr3:uid="{B681C8D6-2D22-4621-9695-B1226464340D}" name="May-29" totalsRowFunction="sum" dataDxfId="232" totalsRowDxfId="24"/>
    <tableColumn id="46" xr3:uid="{C2463DD5-0E32-4533-B444-91EFAF20CCA6}" name="Jun-29" totalsRowFunction="sum" dataDxfId="231" totalsRowDxfId="23"/>
    <tableColumn id="47" xr3:uid="{39E9D5CD-837B-4334-B6E4-CAAA260FEE80}" name="Jul-29" totalsRowFunction="sum" dataDxfId="230" totalsRowDxfId="22"/>
    <tableColumn id="48" xr3:uid="{61FFEB8D-CBE2-4286-8969-52740A8B12BD}" name="Aug-29" totalsRowFunction="sum" dataDxfId="229" totalsRowDxfId="21"/>
    <tableColumn id="49" xr3:uid="{CB0892B2-6772-416A-91B0-7BBDB3D09004}" name="Sep-29" totalsRowFunction="sum" dataDxfId="228" totalsRowDxfId="20"/>
    <tableColumn id="50" xr3:uid="{0C6B3DFF-CAB6-4BEC-AF52-36C8A4394725}" name="Oct-29" totalsRowFunction="sum" dataDxfId="227" totalsRowDxfId="19"/>
    <tableColumn id="51" xr3:uid="{8BAC38BE-1DEC-48F4-8956-48B0C54AB0B0}" name="Nov-29" totalsRowFunction="sum" dataDxfId="226" totalsRowDxfId="18"/>
    <tableColumn id="52" xr3:uid="{A698665C-A71C-4734-9C7F-5415C8A9E5FF}" name="Dec-29" totalsRowFunction="sum" dataDxfId="225" totalsRowDxfId="17"/>
    <tableColumn id="53" xr3:uid="{34305DB6-835F-42B6-8124-27454786D2C9}" name="Jan-30" totalsRowFunction="sum" dataDxfId="224" totalsRowDxfId="16"/>
    <tableColumn id="54" xr3:uid="{B61DBD1A-C2F4-4DE3-97BA-C583D9AA8D6C}" name="Feb-30" totalsRowFunction="sum" dataDxfId="223" totalsRowDxfId="15"/>
    <tableColumn id="55" xr3:uid="{AE33FE36-3CBD-4B59-8C58-575F453B0CB4}" name="Mar-30" totalsRowFunction="sum" dataDxfId="222" totalsRowDxfId="14"/>
    <tableColumn id="56" xr3:uid="{D9AC4617-AD89-4A9F-8465-C43F59E9D35A}" name="29/30 Total" totalsRowFunction="sum" dataDxfId="221" totalsRowDxfId="13">
      <calculatedColumnFormula>SUM(AV14:BG14)</calculatedColumnFormula>
    </tableColumn>
    <tableColumn id="57" xr3:uid="{042EEFCD-58E8-4BF7-84EC-2FDD8BBF1DC5}" name="Apr-30" totalsRowFunction="sum" dataDxfId="220" totalsRowDxfId="12"/>
    <tableColumn id="58" xr3:uid="{06CEEACB-511C-48F0-A92F-54372406F9BD}" name="May-30" totalsRowFunction="sum" dataDxfId="219" totalsRowDxfId="11"/>
    <tableColumn id="59" xr3:uid="{7E6C9C28-DA4F-4356-84B4-92F7EB7D792F}" name="Jun-30" totalsRowFunction="sum" dataDxfId="218" totalsRowDxfId="10"/>
    <tableColumn id="60" xr3:uid="{D8182201-B34F-4F5A-AA81-9C7795B62269}" name="Jul-30" totalsRowFunction="sum" dataDxfId="217" totalsRowDxfId="9"/>
    <tableColumn id="61" xr3:uid="{F96362AE-C042-4997-8C66-AD823DA20776}" name="Aug-30" totalsRowFunction="sum" dataDxfId="216" totalsRowDxfId="8"/>
    <tableColumn id="62" xr3:uid="{2110E8A5-9D8E-4B43-97E7-824DDAAB8A20}" name="Sep-30" totalsRowFunction="sum" dataDxfId="215" totalsRowDxfId="7"/>
    <tableColumn id="63" xr3:uid="{CFBC78F4-EB64-42CE-9DE7-8E01E1D9CD6C}" name="Oct-30" totalsRowFunction="sum" dataDxfId="214" totalsRowDxfId="6"/>
    <tableColumn id="64" xr3:uid="{8258A577-1C14-4839-8B8A-8B79E63EB255}" name="Nov-30" totalsRowFunction="sum" dataDxfId="213" totalsRowDxfId="5"/>
    <tableColumn id="65" xr3:uid="{0F7844F2-F704-4918-8967-FED8A50D6A68}" name="Dec-30" totalsRowFunction="sum" dataDxfId="212" totalsRowDxfId="4"/>
    <tableColumn id="66" xr3:uid="{6EDAB264-18CA-4131-98F9-42A8A02BD117}" name="Jan-31" totalsRowFunction="sum" dataDxfId="211" totalsRowDxfId="3"/>
    <tableColumn id="67" xr3:uid="{89B43A8B-71FE-4AAD-8A79-CF7949CA5868}" name="Feb-31" totalsRowFunction="sum" dataDxfId="210" totalsRowDxfId="2"/>
    <tableColumn id="68" xr3:uid="{6D828160-03C0-4204-BAF5-2613F2D4F4F0}" name="Mar-31" totalsRowFunction="sum" dataDxfId="209" totalsRowDxfId="1"/>
    <tableColumn id="69" xr3:uid="{775EAC32-3EC8-4BE2-A8FA-35C71B96B361}" name="30/31 Total" totalsRowFunction="sum" dataDxfId="208" totalsRowDxfId="0">
      <calculatedColumnFormula>SUM(BI14:BT14)</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4965BB8-E5D5-4C3D-BEDD-96A617CEC73E}" name="FinancialSummaryTable" displayName="FinancialSummaryTable" ref="G6:BU10" totalsRowShown="0" headerRowDxfId="365" dataDxfId="364" tableBorderDxfId="363">
  <autoFilter ref="G6:BU10" xr:uid="{74965BB8-E5D5-4C3D-BEDD-96A617CEC73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autoFilter>
  <tableColumns count="67">
    <tableColumn id="1" xr3:uid="{79B00EEF-C0D7-4631-9E9D-34DBCA7683B1}" name="#" dataDxfId="207"/>
    <tableColumn id="2" xr3:uid="{FAAA0279-A930-493B-8415-7E52F6A478A8}" name="Total (£000)" dataDxfId="362"/>
    <tableColumn id="3" xr3:uid="{C3043C2F-9E34-4D91-93B4-54978C1EB01E}" name="Apr-26" dataDxfId="206"/>
    <tableColumn id="4" xr3:uid="{A1728549-6329-4512-817D-8992F9DB4E78}" name="May-26" dataDxfId="205"/>
    <tableColumn id="5" xr3:uid="{DBC621D3-94D4-4BC7-BEFE-A745F3E6E48E}" name="Jun-26" dataDxfId="204"/>
    <tableColumn id="6" xr3:uid="{1AFE9479-632D-44E8-AD0F-D4433C166766}" name="Jul-26" dataDxfId="203"/>
    <tableColumn id="7" xr3:uid="{0C850931-E332-4E19-B59D-2C79BA8F01A1}" name="Aug-26" dataDxfId="202"/>
    <tableColumn id="8" xr3:uid="{E8D20E97-CF8B-4BE7-9693-521F5D109083}" name="Sep-26" dataDxfId="201"/>
    <tableColumn id="9" xr3:uid="{91F4CE88-79BC-4524-8731-0C0534297407}" name="Oct-26" dataDxfId="200"/>
    <tableColumn id="10" xr3:uid="{B3AA2651-3362-4930-8BA8-DA664344FFF7}" name="Nov-26" dataDxfId="199"/>
    <tableColumn id="11" xr3:uid="{A13229ED-0B91-4047-908F-AF75E08BA46B}" name="Dec-26" dataDxfId="198"/>
    <tableColumn id="12" xr3:uid="{B56C8C1F-EFF0-4308-A55E-4C8F55A7C73C}" name="Jan-27" dataDxfId="197"/>
    <tableColumn id="13" xr3:uid="{CE1E85CB-0957-4929-A905-AEDE94672F02}" name="Feb-27" dataDxfId="196"/>
    <tableColumn id="14" xr3:uid="{7576D23E-90D9-4031-BB2A-2443F6C6296C}" name="Mar-27" dataDxfId="195"/>
    <tableColumn id="15" xr3:uid="{04B5636F-0F37-4817-8B8E-A3D5951C727D}" name="26/27 Total" dataDxfId="194"/>
    <tableColumn id="16" xr3:uid="{66D67E46-4915-4FB0-8BB9-897F5F5E8475}" name="Apr-27" dataDxfId="193"/>
    <tableColumn id="17" xr3:uid="{B3F085FF-E999-4B1A-A211-85553D36CCDF}" name="May-27" dataDxfId="192"/>
    <tableColumn id="18" xr3:uid="{0BC05AF5-14EE-4D63-B609-804F4F631402}" name="Jun-27" dataDxfId="191"/>
    <tableColumn id="19" xr3:uid="{C54C86CD-F511-4109-9236-24A631530193}" name="Jul-27" dataDxfId="190"/>
    <tableColumn id="20" xr3:uid="{A2B22007-F4F9-481E-AA55-321396BB49B0}" name="Aug-27" dataDxfId="189"/>
    <tableColumn id="21" xr3:uid="{FE7E9552-8260-4241-B237-5A9D39C341FB}" name="Sep-27" dataDxfId="188"/>
    <tableColumn id="22" xr3:uid="{B50C4497-ECF6-4121-B24A-58173BFB4EA9}" name="Oct-27" dataDxfId="187"/>
    <tableColumn id="23" xr3:uid="{17D8752F-9A51-4593-8F67-99123807A3A2}" name="Nov-27" dataDxfId="186"/>
    <tableColumn id="24" xr3:uid="{F337FCFA-1EAE-4055-8A39-52231F7899EA}" name="Dec-27" dataDxfId="185"/>
    <tableColumn id="25" xr3:uid="{D845F1E2-F0C8-4A21-B769-27AF553D7E8B}" name="Jan-28" dataDxfId="184"/>
    <tableColumn id="26" xr3:uid="{9D1F3D27-4DF6-470A-A99F-17C9D45F9687}" name="Feb-28" dataDxfId="183"/>
    <tableColumn id="27" xr3:uid="{61AE6B51-DA4F-48FF-AF0F-BFC9069B3641}" name="Mar-28" dataDxfId="182"/>
    <tableColumn id="28" xr3:uid="{4877B94F-52AA-4A5E-BCB7-6971D8649B58}" name="27/28 Total" dataDxfId="181"/>
    <tableColumn id="29" xr3:uid="{F0C9B99A-4934-4086-BAA1-77330DA15F9B}" name="Apr-28" dataDxfId="180"/>
    <tableColumn id="30" xr3:uid="{E673A3DC-B9B0-4B6A-AE1B-1CAA43A74B09}" name="May-28" dataDxfId="179"/>
    <tableColumn id="31" xr3:uid="{2781FDFD-78ED-45C8-85F8-AD7E58466529}" name="Jun-28" dataDxfId="178"/>
    <tableColumn id="32" xr3:uid="{57775143-B6B2-419C-ADEA-97AE00BC2C2A}" name="Jul-28" dataDxfId="177"/>
    <tableColumn id="33" xr3:uid="{4E853EB7-831B-4DA0-A222-17DCF18EE001}" name="Aug-28" dataDxfId="176"/>
    <tableColumn id="34" xr3:uid="{1B1C853A-F1F8-4DA5-B43C-16D1BC6F0039}" name="Sep-28" dataDxfId="175"/>
    <tableColumn id="35" xr3:uid="{4D129FAF-D69C-4250-823A-823F15E17982}" name="Oct-28" dataDxfId="174"/>
    <tableColumn id="36" xr3:uid="{43EA0DD3-7164-4B5D-8885-31ED4292464A}" name="Nov-28" dataDxfId="173"/>
    <tableColumn id="37" xr3:uid="{62AB6152-2E4F-434C-A15F-338498CBD657}" name="Dec-28" dataDxfId="172"/>
    <tableColumn id="38" xr3:uid="{C57C3E35-6F05-4275-9FCB-0C95E3D0ECBB}" name="Jan-29" dataDxfId="171"/>
    <tableColumn id="39" xr3:uid="{73BA33AC-E30F-433C-AB7A-633032114ABE}" name="Feb-29" dataDxfId="170"/>
    <tableColumn id="40" xr3:uid="{991254B1-B72F-458A-B1A4-C07B9FF5F62C}" name="Mar-29" dataDxfId="169"/>
    <tableColumn id="41" xr3:uid="{8AFEFD4E-2850-4ECD-82EB-CD8DA14764A9}" name="28/29 Total" dataDxfId="168"/>
    <tableColumn id="42" xr3:uid="{394DCA17-B751-45AE-8ACB-43206E5A8AB5}" name="Apr-29" dataDxfId="167"/>
    <tableColumn id="43" xr3:uid="{00FC28F5-3609-4589-AF4B-D5EAC0BF8BA8}" name="May-29" dataDxfId="166"/>
    <tableColumn id="44" xr3:uid="{0FBCC501-A167-43B6-A165-D01E5EBB2FA0}" name="Jun-29" dataDxfId="165"/>
    <tableColumn id="45" xr3:uid="{75A962BA-021E-44E3-838A-D0F2418EB2EF}" name="Jul-29" dataDxfId="164"/>
    <tableColumn id="46" xr3:uid="{A3AED5E3-52A8-43CF-B9D6-04CB1F9275A1}" name="Aug-29" dataDxfId="163"/>
    <tableColumn id="47" xr3:uid="{713824E3-5EB9-452A-AD77-13546C345A5D}" name="Sep-29" dataDxfId="162"/>
    <tableColumn id="48" xr3:uid="{56133115-71BC-43FD-B12F-D6E34893705E}" name="Oct-29" dataDxfId="161"/>
    <tableColumn id="49" xr3:uid="{27A638AB-5BDA-4756-8D27-27B3D478607A}" name="Nov-29" dataDxfId="160"/>
    <tableColumn id="50" xr3:uid="{6774B6B7-6249-4565-9C91-7771A247FF06}" name="Dec-29" dataDxfId="159"/>
    <tableColumn id="51" xr3:uid="{7AED2C4C-CB70-4F56-977D-B93862CE65DE}" name="Jan-30" dataDxfId="158"/>
    <tableColumn id="52" xr3:uid="{AA30EE99-0EDC-436F-87E4-3232A44CE2BA}" name="Feb-30" dataDxfId="157"/>
    <tableColumn id="53" xr3:uid="{DA14A0F9-7ACC-483D-A4DA-66338CEE1CD5}" name="Mar-30" dataDxfId="156"/>
    <tableColumn id="54" xr3:uid="{D2865AD9-B858-4D11-B397-C54EA587A04A}" name="29/30 Total" dataDxfId="155"/>
    <tableColumn id="55" xr3:uid="{8A98FA56-2525-4F5E-975A-4A326F9B5483}" name="Apr-30" dataDxfId="154"/>
    <tableColumn id="56" xr3:uid="{3455F467-00A5-4A64-B4AE-16177261DDD6}" name="May-30" dataDxfId="153"/>
    <tableColumn id="57" xr3:uid="{811CFB9B-4155-41E9-B0E5-F147A0B3BF56}" name="Jun-30" dataDxfId="152"/>
    <tableColumn id="58" xr3:uid="{28F8BBB7-AEA2-4800-9DEA-314392AD86C8}" name="Jul-30" dataDxfId="151"/>
    <tableColumn id="59" xr3:uid="{FD9C9836-5E53-409A-974D-54ECD206F38A}" name="Aug-30" dataDxfId="150"/>
    <tableColumn id="60" xr3:uid="{EBC8D4F4-E6E0-4E6B-A0E2-ECDDD83B516F}" name="Sep-30" dataDxfId="149"/>
    <tableColumn id="61" xr3:uid="{E368A308-E8A6-432A-90A6-B4A584516361}" name="Oct-30" dataDxfId="148"/>
    <tableColumn id="62" xr3:uid="{B12CA8CF-4D25-4AC5-909F-4B2E13E364B2}" name="Nov-30" dataDxfId="147"/>
    <tableColumn id="63" xr3:uid="{2643AF28-D430-40CC-80DA-BC77BD1D2B63}" name="Dec-30" dataDxfId="146"/>
    <tableColumn id="64" xr3:uid="{CC994243-6BC5-45CD-98B2-F494706AEBB3}" name="Jan-31" dataDxfId="145"/>
    <tableColumn id="65" xr3:uid="{4A848E7A-58B5-4460-9F94-0C07D43E48E2}" name="Feb-31" dataDxfId="144"/>
    <tableColumn id="66" xr3:uid="{79FEBD0A-9B18-4C44-B429-F76E9741787A}" name="Mar-31" dataDxfId="143"/>
    <tableColumn id="67" xr3:uid="{22035C8F-26CB-4D3B-B44F-C2362B2485EA}" name="30/31 Total" dataDxfId="14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2DB43A-E049-4449-824D-1E564624A72C}" name="MilestonePlanTable" displayName="MilestonePlanTable" ref="C6:G12" totalsRowShown="0" headerRowDxfId="361" dataDxfId="359" headerRowBorderDxfId="360" tableBorderDxfId="358" totalsRowBorderDxfId="357">
  <autoFilter ref="C6:G12" xr:uid="{EE2DB43A-E049-4449-824D-1E564624A72C}"/>
  <tableColumns count="5">
    <tableColumn id="1" xr3:uid="{11DA8BDF-807A-41DD-9CC1-DD3B6D143066}" name="Milestones Reference" dataDxfId="356"/>
    <tableColumn id="2" xr3:uid="{9ACA164C-B04F-4CB1-9C32-D604D4F4A66B}" name="Milestone Type" dataDxfId="355"/>
    <tableColumn id="3" xr3:uid="{FCB8A8B1-2145-42B8-B8C1-528013D6C965}" name="Key milestones" dataDxfId="354"/>
    <tableColumn id="4" xr3:uid="{E665C040-7602-40F0-8A8C-2152E1BA87F8}" name="Milestone owner" dataDxfId="353"/>
    <tableColumn id="5" xr3:uid="{EF402C22-9233-45D9-A857-EB344CABBF71}" name="Milestone date" dataDxfId="35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1145A-4166-4747-859B-CEAB155ADA13}">
  <sheetPr>
    <tabColor theme="1"/>
  </sheetPr>
  <dimension ref="A1:H26"/>
  <sheetViews>
    <sheetView workbookViewId="0">
      <selection activeCell="E16" sqref="E16"/>
    </sheetView>
  </sheetViews>
  <sheetFormatPr defaultRowHeight="14.5" x14ac:dyDescent="0.35"/>
  <cols>
    <col min="1" max="1" width="32.453125" bestFit="1" customWidth="1"/>
    <col min="2" max="2" width="95.1796875" bestFit="1" customWidth="1"/>
    <col min="3" max="3" width="32.1796875" bestFit="1" customWidth="1"/>
    <col min="5" max="5" width="29.26953125" bestFit="1" customWidth="1"/>
    <col min="6" max="6" width="11.453125" bestFit="1" customWidth="1"/>
  </cols>
  <sheetData>
    <row r="1" spans="1:8" x14ac:dyDescent="0.35">
      <c r="A1" s="20" t="s">
        <v>0</v>
      </c>
      <c r="C1" s="20" t="s">
        <v>1</v>
      </c>
      <c r="E1" s="20" t="s">
        <v>2</v>
      </c>
      <c r="F1" t="s">
        <v>3</v>
      </c>
      <c r="H1" s="20" t="s">
        <v>4</v>
      </c>
    </row>
    <row r="2" spans="1:8" x14ac:dyDescent="0.35">
      <c r="A2" s="19" t="s">
        <v>5</v>
      </c>
      <c r="C2" s="19" t="s">
        <v>6</v>
      </c>
      <c r="E2" s="19" t="s">
        <v>7</v>
      </c>
      <c r="F2" t="s">
        <v>8</v>
      </c>
      <c r="H2" s="19" t="s">
        <v>9</v>
      </c>
    </row>
    <row r="3" spans="1:8" x14ac:dyDescent="0.35">
      <c r="A3" s="19" t="s">
        <v>10</v>
      </c>
      <c r="C3" s="19" t="s">
        <v>11</v>
      </c>
      <c r="E3" s="19" t="s">
        <v>12</v>
      </c>
      <c r="F3" t="s">
        <v>13</v>
      </c>
      <c r="H3" s="19" t="s">
        <v>14</v>
      </c>
    </row>
    <row r="4" spans="1:8" x14ac:dyDescent="0.35">
      <c r="A4" s="19" t="s">
        <v>15</v>
      </c>
      <c r="C4" s="19" t="s">
        <v>16</v>
      </c>
      <c r="E4" s="19" t="s">
        <v>17</v>
      </c>
      <c r="F4" t="s">
        <v>18</v>
      </c>
      <c r="H4" s="19" t="s">
        <v>19</v>
      </c>
    </row>
    <row r="5" spans="1:8" x14ac:dyDescent="0.35">
      <c r="A5" s="19" t="s">
        <v>20</v>
      </c>
      <c r="C5" s="19" t="s">
        <v>21</v>
      </c>
      <c r="E5" s="19" t="s">
        <v>22</v>
      </c>
      <c r="F5" t="s">
        <v>217</v>
      </c>
      <c r="H5" s="19" t="s">
        <v>23</v>
      </c>
    </row>
    <row r="6" spans="1:8" x14ac:dyDescent="0.35">
      <c r="C6" s="19" t="s">
        <v>24</v>
      </c>
      <c r="E6" s="19" t="s">
        <v>25</v>
      </c>
      <c r="F6" t="s">
        <v>26</v>
      </c>
    </row>
    <row r="7" spans="1:8" x14ac:dyDescent="0.35">
      <c r="E7" s="19" t="s">
        <v>212</v>
      </c>
      <c r="F7" t="s">
        <v>213</v>
      </c>
    </row>
    <row r="8" spans="1:8" x14ac:dyDescent="0.35">
      <c r="A8" s="20" t="s">
        <v>27</v>
      </c>
    </row>
    <row r="9" spans="1:8" x14ac:dyDescent="0.35">
      <c r="A9" s="19" t="s">
        <v>28</v>
      </c>
      <c r="H9" s="20" t="s">
        <v>29</v>
      </c>
    </row>
    <row r="10" spans="1:8" x14ac:dyDescent="0.35">
      <c r="A10" s="19" t="s">
        <v>30</v>
      </c>
      <c r="H10" s="19" t="s">
        <v>31</v>
      </c>
    </row>
    <row r="11" spans="1:8" x14ac:dyDescent="0.35">
      <c r="H11" s="19" t="s">
        <v>32</v>
      </c>
    </row>
    <row r="12" spans="1:8" x14ac:dyDescent="0.35">
      <c r="H12" s="19" t="s">
        <v>33</v>
      </c>
    </row>
    <row r="13" spans="1:8" x14ac:dyDescent="0.35">
      <c r="A13" s="20" t="s">
        <v>34</v>
      </c>
      <c r="C13" s="20" t="s">
        <v>35</v>
      </c>
    </row>
    <row r="14" spans="1:8" x14ac:dyDescent="0.35">
      <c r="A14" s="19" t="s">
        <v>36</v>
      </c>
      <c r="B14" t="s">
        <v>37</v>
      </c>
      <c r="C14" s="19" t="s">
        <v>36</v>
      </c>
    </row>
    <row r="15" spans="1:8" x14ac:dyDescent="0.35">
      <c r="A15" s="19" t="s">
        <v>38</v>
      </c>
      <c r="B15" t="s">
        <v>39</v>
      </c>
      <c r="C15" s="19" t="s">
        <v>40</v>
      </c>
    </row>
    <row r="16" spans="1:8" x14ac:dyDescent="0.35">
      <c r="A16" s="19" t="s">
        <v>41</v>
      </c>
      <c r="B16" t="s">
        <v>42</v>
      </c>
      <c r="C16" s="19" t="s">
        <v>43</v>
      </c>
    </row>
    <row r="17" spans="1:3" x14ac:dyDescent="0.35">
      <c r="A17" s="19" t="s">
        <v>40</v>
      </c>
      <c r="B17" t="s">
        <v>44</v>
      </c>
      <c r="C17" s="19" t="s">
        <v>45</v>
      </c>
    </row>
    <row r="18" spans="1:3" x14ac:dyDescent="0.35">
      <c r="A18" s="19" t="s">
        <v>46</v>
      </c>
      <c r="B18" t="s">
        <v>47</v>
      </c>
      <c r="C18" s="19" t="s">
        <v>48</v>
      </c>
    </row>
    <row r="19" spans="1:3" x14ac:dyDescent="0.35">
      <c r="A19" s="19" t="s">
        <v>49</v>
      </c>
      <c r="B19" t="s">
        <v>50</v>
      </c>
      <c r="C19" s="19" t="s">
        <v>51</v>
      </c>
    </row>
    <row r="20" spans="1:3" x14ac:dyDescent="0.35">
      <c r="A20" s="19" t="s">
        <v>52</v>
      </c>
      <c r="B20" t="s">
        <v>53</v>
      </c>
    </row>
    <row r="21" spans="1:3" x14ac:dyDescent="0.35">
      <c r="A21" s="19"/>
    </row>
    <row r="22" spans="1:3" x14ac:dyDescent="0.35">
      <c r="A22" s="19"/>
    </row>
    <row r="23" spans="1:3" x14ac:dyDescent="0.35">
      <c r="A23" s="19"/>
    </row>
    <row r="24" spans="1:3" x14ac:dyDescent="0.35">
      <c r="A24" s="19"/>
    </row>
    <row r="25" spans="1:3" x14ac:dyDescent="0.35">
      <c r="A25" s="19"/>
    </row>
    <row r="26" spans="1:3" x14ac:dyDescent="0.35">
      <c r="A26" s="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2F2A-3B7D-4481-991A-F7A2B84AC173}">
  <dimension ref="A2:BU61"/>
  <sheetViews>
    <sheetView showGridLines="0" zoomScale="115" zoomScaleNormal="115" workbookViewId="0">
      <pane ySplit="5" topLeftCell="A17" activePane="bottomLeft" state="frozen"/>
      <selection activeCell="F1" sqref="F1"/>
      <selection pane="bottomLeft" activeCell="B18" sqref="B18"/>
    </sheetView>
  </sheetViews>
  <sheetFormatPr defaultRowHeight="14.5" x14ac:dyDescent="0.35"/>
  <cols>
    <col min="1" max="1" width="26.81640625" customWidth="1"/>
    <col min="2" max="2" width="75.453125" customWidth="1"/>
    <col min="3" max="3" width="50.1796875" customWidth="1"/>
    <col min="4" max="4" width="12.7265625" customWidth="1"/>
  </cols>
  <sheetData>
    <row r="2" spans="1:73" ht="33" customHeight="1" x14ac:dyDescent="0.35">
      <c r="A2" s="77" t="s">
        <v>54</v>
      </c>
      <c r="B2" s="78"/>
      <c r="C2" s="79" t="s">
        <v>55</v>
      </c>
      <c r="D2" s="80"/>
      <c r="E2" s="80"/>
      <c r="F2" s="80"/>
      <c r="G2" s="80"/>
      <c r="H2" s="80"/>
      <c r="I2" s="80"/>
      <c r="J2" s="80"/>
      <c r="K2" s="80"/>
      <c r="L2" s="80"/>
      <c r="M2" s="80"/>
      <c r="N2" s="80"/>
      <c r="O2" s="80"/>
      <c r="P2" s="80"/>
      <c r="Q2" s="81"/>
    </row>
    <row r="3" spans="1:73" ht="33" customHeight="1" x14ac:dyDescent="0.35">
      <c r="A3" s="77" t="s">
        <v>56</v>
      </c>
      <c r="B3" s="78"/>
      <c r="C3" s="79" t="s">
        <v>57</v>
      </c>
      <c r="D3" s="80"/>
      <c r="E3" s="80"/>
      <c r="F3" s="80"/>
      <c r="G3" s="80"/>
      <c r="H3" s="80"/>
      <c r="I3" s="80"/>
      <c r="J3" s="80"/>
      <c r="K3" s="80"/>
      <c r="L3" s="80"/>
      <c r="M3" s="80"/>
      <c r="N3" s="80"/>
      <c r="O3" s="80"/>
      <c r="P3" s="80"/>
      <c r="Q3" s="81"/>
    </row>
    <row r="4" spans="1:73" ht="26.5" customHeight="1" x14ac:dyDescent="0.35">
      <c r="A4" s="77" t="s">
        <v>58</v>
      </c>
      <c r="B4" s="78"/>
      <c r="C4" s="79" t="s">
        <v>59</v>
      </c>
      <c r="D4" s="80"/>
      <c r="E4" s="80"/>
      <c r="F4" s="80"/>
      <c r="G4" s="80"/>
      <c r="H4" s="80"/>
      <c r="I4" s="80"/>
      <c r="J4" s="80"/>
      <c r="K4" s="80"/>
      <c r="L4" s="80"/>
      <c r="M4" s="80"/>
      <c r="N4" s="80"/>
      <c r="O4" s="80"/>
      <c r="P4" s="80"/>
      <c r="Q4" s="81"/>
    </row>
    <row r="5" spans="1:73" ht="28.5" customHeight="1" x14ac:dyDescent="0.35">
      <c r="A5" s="77" t="s">
        <v>60</v>
      </c>
      <c r="B5" s="78"/>
      <c r="C5" s="79" t="s">
        <v>61</v>
      </c>
      <c r="D5" s="80"/>
      <c r="E5" s="80"/>
      <c r="F5" s="80"/>
      <c r="G5" s="80"/>
      <c r="H5" s="80"/>
      <c r="I5" s="80"/>
      <c r="J5" s="80"/>
      <c r="K5" s="80"/>
      <c r="L5" s="80"/>
      <c r="M5" s="80"/>
      <c r="N5" s="80"/>
      <c r="O5" s="80"/>
      <c r="P5" s="80"/>
      <c r="Q5" s="81"/>
    </row>
    <row r="8" spans="1:73" ht="59.5" customHeight="1" x14ac:dyDescent="0.35">
      <c r="A8" s="3" t="s">
        <v>62</v>
      </c>
      <c r="B8" s="4" t="s">
        <v>63</v>
      </c>
      <c r="C8" s="4" t="s">
        <v>64</v>
      </c>
      <c r="D8" s="4" t="s">
        <v>65</v>
      </c>
      <c r="E8" s="2">
        <v>46113</v>
      </c>
      <c r="F8" s="2">
        <v>46143</v>
      </c>
      <c r="G8" s="2">
        <v>46174</v>
      </c>
      <c r="H8" s="2">
        <v>46204</v>
      </c>
      <c r="I8" s="2">
        <v>46235</v>
      </c>
      <c r="J8" s="2">
        <v>46266</v>
      </c>
      <c r="K8" s="2">
        <v>46296</v>
      </c>
      <c r="L8" s="2">
        <v>46327</v>
      </c>
      <c r="M8" s="2">
        <v>46357</v>
      </c>
      <c r="N8" s="2">
        <v>46388</v>
      </c>
      <c r="O8" s="2">
        <v>46419</v>
      </c>
      <c r="P8" s="2">
        <v>46447</v>
      </c>
      <c r="Q8" s="8"/>
      <c r="S8" s="2">
        <v>46478</v>
      </c>
      <c r="T8" s="2">
        <v>46508</v>
      </c>
      <c r="U8" s="2">
        <v>46539</v>
      </c>
      <c r="V8" s="2">
        <v>46569</v>
      </c>
      <c r="W8" s="2">
        <v>46600</v>
      </c>
      <c r="X8" s="2">
        <v>46631</v>
      </c>
      <c r="Y8" s="2">
        <v>46661</v>
      </c>
      <c r="Z8" s="2">
        <v>46692</v>
      </c>
      <c r="AA8" s="2">
        <v>46722</v>
      </c>
      <c r="AB8" s="2">
        <v>46753</v>
      </c>
      <c r="AC8" s="2">
        <v>46784</v>
      </c>
      <c r="AD8" s="2">
        <v>46813</v>
      </c>
      <c r="AE8" s="8"/>
      <c r="AG8" s="2">
        <v>46844</v>
      </c>
      <c r="AH8" s="2">
        <v>46874</v>
      </c>
      <c r="AI8" s="2">
        <v>46905</v>
      </c>
      <c r="AJ8" s="2">
        <v>46935</v>
      </c>
      <c r="AK8" s="2">
        <v>46966</v>
      </c>
      <c r="AL8" s="2">
        <v>46997</v>
      </c>
      <c r="AM8" s="2">
        <v>47027</v>
      </c>
      <c r="AN8" s="2">
        <v>47058</v>
      </c>
      <c r="AO8" s="2">
        <v>47088</v>
      </c>
      <c r="AP8" s="2">
        <v>47119</v>
      </c>
      <c r="AQ8" s="2">
        <v>47150</v>
      </c>
      <c r="AR8" s="2">
        <v>47178</v>
      </c>
      <c r="AS8" s="8"/>
      <c r="AU8" s="2">
        <v>47209</v>
      </c>
      <c r="AV8" s="2">
        <v>47239</v>
      </c>
      <c r="AW8" s="2">
        <v>47270</v>
      </c>
      <c r="AX8" s="2">
        <v>47300</v>
      </c>
      <c r="AY8" s="2">
        <v>47331</v>
      </c>
      <c r="AZ8" s="2">
        <v>47362</v>
      </c>
      <c r="BA8" s="2">
        <v>47392</v>
      </c>
      <c r="BB8" s="2">
        <v>47423</v>
      </c>
      <c r="BC8" s="2">
        <v>47453</v>
      </c>
      <c r="BD8" s="2">
        <v>47484</v>
      </c>
      <c r="BE8" s="2">
        <v>47515</v>
      </c>
      <c r="BF8" s="2">
        <v>47543</v>
      </c>
      <c r="BG8" s="8"/>
      <c r="BI8" s="2">
        <v>47574</v>
      </c>
      <c r="BJ8" s="2">
        <v>47604</v>
      </c>
      <c r="BK8" s="2">
        <v>47635</v>
      </c>
      <c r="BL8" s="2">
        <v>47665</v>
      </c>
      <c r="BM8" s="2">
        <v>47696</v>
      </c>
      <c r="BN8" s="2">
        <v>47727</v>
      </c>
      <c r="BO8" s="2">
        <v>47757</v>
      </c>
      <c r="BP8" s="2">
        <v>47788</v>
      </c>
      <c r="BQ8" s="2">
        <v>47818</v>
      </c>
      <c r="BR8" s="2">
        <v>47849</v>
      </c>
      <c r="BS8" s="2">
        <v>47880</v>
      </c>
      <c r="BT8" s="2">
        <v>47908</v>
      </c>
      <c r="BU8" s="8"/>
    </row>
    <row r="9" spans="1:73" ht="16" x14ac:dyDescent="0.35">
      <c r="A9" s="5" t="s">
        <v>66</v>
      </c>
      <c r="B9" s="6" t="s">
        <v>67</v>
      </c>
      <c r="C9" s="6"/>
      <c r="D9" s="7"/>
      <c r="E9" s="1"/>
      <c r="F9" s="1"/>
      <c r="G9" s="1"/>
      <c r="H9" s="1"/>
      <c r="I9" s="1"/>
      <c r="J9" s="1"/>
      <c r="K9" s="1"/>
      <c r="L9" s="1"/>
      <c r="M9" s="1"/>
      <c r="N9" s="1"/>
      <c r="O9" s="1"/>
      <c r="P9" s="1"/>
      <c r="Q9" s="9"/>
      <c r="S9" s="1"/>
      <c r="T9" s="1"/>
      <c r="U9" s="1"/>
      <c r="V9" s="1"/>
      <c r="W9" s="1"/>
      <c r="X9" s="1"/>
      <c r="Y9" s="1"/>
      <c r="Z9" s="1"/>
      <c r="AA9" s="1"/>
      <c r="AB9" s="1"/>
      <c r="AC9" s="1"/>
      <c r="AD9" s="1"/>
      <c r="AE9" s="9"/>
      <c r="AG9" s="1"/>
      <c r="AH9" s="1"/>
      <c r="AI9" s="1"/>
      <c r="AJ9" s="1"/>
      <c r="AK9" s="1"/>
      <c r="AL9" s="1"/>
      <c r="AM9" s="1"/>
      <c r="AN9" s="1"/>
      <c r="AO9" s="1"/>
      <c r="AP9" s="1"/>
      <c r="AQ9" s="1"/>
      <c r="AR9" s="1"/>
      <c r="AS9" s="9"/>
      <c r="AU9" s="1"/>
      <c r="AV9" s="1"/>
      <c r="AW9" s="1"/>
      <c r="AX9" s="1"/>
      <c r="AY9" s="1"/>
      <c r="AZ9" s="1"/>
      <c r="BA9" s="1"/>
      <c r="BB9" s="1"/>
      <c r="BC9" s="1"/>
      <c r="BD9" s="1"/>
      <c r="BE9" s="1"/>
      <c r="BF9" s="1"/>
      <c r="BG9" s="9"/>
      <c r="BI9" s="1"/>
      <c r="BJ9" s="1"/>
      <c r="BK9" s="1"/>
      <c r="BL9" s="1"/>
      <c r="BM9" s="1"/>
      <c r="BN9" s="1"/>
      <c r="BO9" s="1"/>
      <c r="BP9" s="1"/>
      <c r="BQ9" s="1"/>
      <c r="BR9" s="1"/>
      <c r="BS9" s="1"/>
      <c r="BT9" s="1"/>
      <c r="BU9" s="9"/>
    </row>
    <row r="10" spans="1:73" ht="16" x14ac:dyDescent="0.35">
      <c r="A10" s="5" t="s">
        <v>68</v>
      </c>
      <c r="B10" s="6"/>
      <c r="C10" s="6"/>
      <c r="D10" s="7"/>
      <c r="E10" s="1"/>
      <c r="F10" s="1"/>
      <c r="G10" s="1"/>
      <c r="H10" s="1"/>
      <c r="I10" s="1"/>
      <c r="J10" s="1"/>
      <c r="K10" s="1"/>
      <c r="L10" s="1"/>
      <c r="M10" s="1"/>
      <c r="N10" s="1"/>
      <c r="O10" s="1"/>
      <c r="P10" s="1"/>
      <c r="Q10" s="9"/>
      <c r="S10" s="1"/>
      <c r="T10" s="1"/>
      <c r="U10" s="1"/>
      <c r="V10" s="1"/>
      <c r="W10" s="1"/>
      <c r="X10" s="1"/>
      <c r="Y10" s="1"/>
      <c r="Z10" s="1"/>
      <c r="AA10" s="1"/>
      <c r="AB10" s="1"/>
      <c r="AC10" s="1"/>
      <c r="AD10" s="1"/>
      <c r="AE10" s="9"/>
      <c r="AG10" s="1"/>
      <c r="AH10" s="1"/>
      <c r="AI10" s="1"/>
      <c r="AJ10" s="1"/>
      <c r="AK10" s="1"/>
      <c r="AL10" s="1"/>
      <c r="AM10" s="1"/>
      <c r="AN10" s="1"/>
      <c r="AO10" s="1"/>
      <c r="AP10" s="1"/>
      <c r="AQ10" s="1"/>
      <c r="AR10" s="1"/>
      <c r="AS10" s="9"/>
      <c r="AU10" s="1"/>
      <c r="AV10" s="1"/>
      <c r="AW10" s="1"/>
      <c r="AX10" s="1"/>
      <c r="AY10" s="1"/>
      <c r="AZ10" s="1"/>
      <c r="BA10" s="1"/>
      <c r="BB10" s="1"/>
      <c r="BC10" s="1"/>
      <c r="BD10" s="1"/>
      <c r="BE10" s="1"/>
      <c r="BF10" s="1"/>
      <c r="BG10" s="9"/>
      <c r="BI10" s="1"/>
      <c r="BJ10" s="1"/>
      <c r="BK10" s="1"/>
      <c r="BL10" s="1"/>
      <c r="BM10" s="1"/>
      <c r="BN10" s="1"/>
      <c r="BO10" s="1"/>
      <c r="BP10" s="1"/>
      <c r="BQ10" s="1"/>
      <c r="BR10" s="1"/>
      <c r="BS10" s="1"/>
      <c r="BT10" s="1"/>
      <c r="BU10" s="9"/>
    </row>
    <row r="11" spans="1:73" ht="16" x14ac:dyDescent="0.35">
      <c r="A11" s="5" t="s">
        <v>69</v>
      </c>
      <c r="B11" s="6"/>
      <c r="C11" s="6"/>
      <c r="D11" s="7"/>
      <c r="E11" s="1"/>
      <c r="F11" s="1"/>
      <c r="G11" s="1"/>
      <c r="H11" s="1"/>
      <c r="I11" s="1"/>
      <c r="J11" s="1"/>
      <c r="K11" s="1"/>
      <c r="L11" s="1"/>
      <c r="M11" s="1"/>
      <c r="N11" s="1"/>
      <c r="O11" s="1"/>
      <c r="P11" s="1"/>
      <c r="Q11" s="9"/>
      <c r="S11" s="1"/>
      <c r="T11" s="1"/>
      <c r="U11" s="1"/>
      <c r="V11" s="1"/>
      <c r="W11" s="1"/>
      <c r="X11" s="1"/>
      <c r="Y11" s="1"/>
      <c r="Z11" s="1"/>
      <c r="AA11" s="1"/>
      <c r="AB11" s="1"/>
      <c r="AC11" s="1"/>
      <c r="AD11" s="1"/>
      <c r="AE11" s="9"/>
      <c r="AG11" s="1"/>
      <c r="AH11" s="1"/>
      <c r="AI11" s="1"/>
      <c r="AJ11" s="1"/>
      <c r="AK11" s="1"/>
      <c r="AL11" s="1"/>
      <c r="AM11" s="1"/>
      <c r="AN11" s="1"/>
      <c r="AO11" s="1"/>
      <c r="AP11" s="1"/>
      <c r="AQ11" s="1"/>
      <c r="AR11" s="1"/>
      <c r="AS11" s="9"/>
      <c r="AU11" s="1"/>
      <c r="AV11" s="1"/>
      <c r="AW11" s="1"/>
      <c r="AX11" s="1"/>
      <c r="AY11" s="1"/>
      <c r="AZ11" s="1"/>
      <c r="BA11" s="1"/>
      <c r="BB11" s="1"/>
      <c r="BC11" s="1"/>
      <c r="BD11" s="1"/>
      <c r="BE11" s="1"/>
      <c r="BF11" s="1"/>
      <c r="BG11" s="9"/>
      <c r="BI11" s="1"/>
      <c r="BJ11" s="1"/>
      <c r="BK11" s="1"/>
      <c r="BL11" s="1"/>
      <c r="BM11" s="1"/>
      <c r="BN11" s="1"/>
      <c r="BO11" s="1"/>
      <c r="BP11" s="1"/>
      <c r="BQ11" s="1"/>
      <c r="BR11" s="1"/>
      <c r="BS11" s="1"/>
      <c r="BT11" s="1"/>
      <c r="BU11" s="9"/>
    </row>
    <row r="12" spans="1:73" ht="16" x14ac:dyDescent="0.35">
      <c r="A12" s="5" t="s">
        <v>70</v>
      </c>
      <c r="B12" s="6"/>
      <c r="C12" s="6"/>
      <c r="D12" s="7"/>
      <c r="E12" s="1"/>
      <c r="F12" s="1"/>
      <c r="G12" s="1"/>
      <c r="H12" s="1"/>
      <c r="I12" s="1"/>
      <c r="J12" s="1"/>
      <c r="K12" s="1"/>
      <c r="L12" s="1"/>
      <c r="M12" s="1"/>
      <c r="N12" s="1"/>
      <c r="O12" s="1"/>
      <c r="P12" s="1"/>
      <c r="Q12" s="9"/>
      <c r="S12" s="1"/>
      <c r="T12" s="1"/>
      <c r="U12" s="1"/>
      <c r="V12" s="1"/>
      <c r="W12" s="1"/>
      <c r="X12" s="1"/>
      <c r="Y12" s="1"/>
      <c r="Z12" s="1"/>
      <c r="AA12" s="1"/>
      <c r="AB12" s="1"/>
      <c r="AC12" s="1"/>
      <c r="AD12" s="1"/>
      <c r="AE12" s="9"/>
      <c r="AG12" s="1"/>
      <c r="AH12" s="1"/>
      <c r="AI12" s="1"/>
      <c r="AJ12" s="1"/>
      <c r="AK12" s="1"/>
      <c r="AL12" s="1"/>
      <c r="AM12" s="1"/>
      <c r="AN12" s="1"/>
      <c r="AO12" s="1"/>
      <c r="AP12" s="1"/>
      <c r="AQ12" s="1"/>
      <c r="AR12" s="1"/>
      <c r="AS12" s="9"/>
      <c r="AU12" s="1"/>
      <c r="AV12" s="1"/>
      <c r="AW12" s="1"/>
      <c r="AX12" s="1"/>
      <c r="AY12" s="1"/>
      <c r="AZ12" s="1"/>
      <c r="BA12" s="1"/>
      <c r="BB12" s="1"/>
      <c r="BC12" s="1"/>
      <c r="BD12" s="1"/>
      <c r="BE12" s="1"/>
      <c r="BF12" s="1"/>
      <c r="BG12" s="9"/>
      <c r="BI12" s="1"/>
      <c r="BJ12" s="1"/>
      <c r="BK12" s="1"/>
      <c r="BL12" s="1"/>
      <c r="BM12" s="1"/>
      <c r="BN12" s="1"/>
      <c r="BO12" s="1"/>
      <c r="BP12" s="1"/>
      <c r="BQ12" s="1"/>
      <c r="BR12" s="1"/>
      <c r="BS12" s="1"/>
      <c r="BT12" s="1"/>
      <c r="BU12" s="9"/>
    </row>
    <row r="13" spans="1:73" ht="16" x14ac:dyDescent="0.35">
      <c r="A13" s="5" t="s">
        <v>71</v>
      </c>
      <c r="B13" s="6"/>
      <c r="C13" s="6"/>
      <c r="D13" s="7"/>
      <c r="E13" s="1"/>
      <c r="F13" s="1"/>
      <c r="G13" s="1"/>
      <c r="H13" s="1"/>
      <c r="I13" s="1"/>
      <c r="J13" s="1"/>
      <c r="K13" s="1"/>
      <c r="L13" s="1"/>
      <c r="M13" s="1"/>
      <c r="N13" s="1"/>
      <c r="O13" s="1"/>
      <c r="P13" s="1"/>
      <c r="Q13" s="9"/>
      <c r="S13" s="1"/>
      <c r="T13" s="1"/>
      <c r="U13" s="1"/>
      <c r="V13" s="1"/>
      <c r="W13" s="1"/>
      <c r="X13" s="1"/>
      <c r="Y13" s="1"/>
      <c r="Z13" s="1"/>
      <c r="AA13" s="1"/>
      <c r="AB13" s="1"/>
      <c r="AC13" s="1"/>
      <c r="AD13" s="1"/>
      <c r="AE13" s="9"/>
      <c r="AG13" s="1"/>
      <c r="AH13" s="1"/>
      <c r="AI13" s="1"/>
      <c r="AJ13" s="1"/>
      <c r="AK13" s="1"/>
      <c r="AL13" s="1"/>
      <c r="AM13" s="1"/>
      <c r="AN13" s="1"/>
      <c r="AO13" s="1"/>
      <c r="AP13" s="1"/>
      <c r="AQ13" s="1"/>
      <c r="AR13" s="1"/>
      <c r="AS13" s="9"/>
      <c r="AU13" s="1"/>
      <c r="AV13" s="1"/>
      <c r="AW13" s="1"/>
      <c r="AX13" s="1"/>
      <c r="AY13" s="1"/>
      <c r="AZ13" s="1"/>
      <c r="BA13" s="1"/>
      <c r="BB13" s="1"/>
      <c r="BC13" s="1"/>
      <c r="BD13" s="1"/>
      <c r="BE13" s="1"/>
      <c r="BF13" s="1"/>
      <c r="BG13" s="9"/>
      <c r="BI13" s="1"/>
      <c r="BJ13" s="1"/>
      <c r="BK13" s="1"/>
      <c r="BL13" s="1"/>
      <c r="BM13" s="1"/>
      <c r="BN13" s="1"/>
      <c r="BO13" s="1"/>
      <c r="BP13" s="1"/>
      <c r="BQ13" s="1"/>
      <c r="BR13" s="1"/>
      <c r="BS13" s="1"/>
      <c r="BT13" s="1"/>
      <c r="BU13" s="9"/>
    </row>
    <row r="14" spans="1:73" ht="16" x14ac:dyDescent="0.35">
      <c r="A14" s="5" t="s">
        <v>72</v>
      </c>
      <c r="B14" s="6"/>
      <c r="C14" s="6"/>
      <c r="D14" s="7"/>
      <c r="E14" s="1"/>
      <c r="F14" s="1"/>
      <c r="G14" s="1"/>
      <c r="H14" s="1"/>
      <c r="I14" s="1"/>
      <c r="J14" s="1"/>
      <c r="K14" s="1"/>
      <c r="L14" s="1"/>
      <c r="M14" s="1"/>
      <c r="N14" s="1"/>
      <c r="O14" s="1"/>
      <c r="P14" s="1"/>
      <c r="Q14" s="9"/>
      <c r="S14" s="1"/>
      <c r="T14" s="1"/>
      <c r="U14" s="1"/>
      <c r="V14" s="1"/>
      <c r="W14" s="1"/>
      <c r="X14" s="1"/>
      <c r="Y14" s="1"/>
      <c r="Z14" s="1"/>
      <c r="AA14" s="1"/>
      <c r="AB14" s="1"/>
      <c r="AC14" s="1"/>
      <c r="AD14" s="1"/>
      <c r="AE14" s="9"/>
      <c r="AG14" s="1"/>
      <c r="AH14" s="1"/>
      <c r="AI14" s="1"/>
      <c r="AJ14" s="1"/>
      <c r="AK14" s="1"/>
      <c r="AL14" s="1"/>
      <c r="AM14" s="1"/>
      <c r="AN14" s="1"/>
      <c r="AO14" s="1"/>
      <c r="AP14" s="1"/>
      <c r="AQ14" s="1"/>
      <c r="AR14" s="1"/>
      <c r="AS14" s="9"/>
      <c r="AU14" s="1"/>
      <c r="AV14" s="1"/>
      <c r="AW14" s="1"/>
      <c r="AX14" s="1"/>
      <c r="AY14" s="1"/>
      <c r="AZ14" s="1"/>
      <c r="BA14" s="1"/>
      <c r="BB14" s="1"/>
      <c r="BC14" s="1"/>
      <c r="BD14" s="1"/>
      <c r="BE14" s="1"/>
      <c r="BF14" s="1"/>
      <c r="BG14" s="9"/>
      <c r="BI14" s="1"/>
      <c r="BJ14" s="1"/>
      <c r="BK14" s="1"/>
      <c r="BL14" s="1"/>
      <c r="BM14" s="1"/>
      <c r="BN14" s="1"/>
      <c r="BO14" s="1"/>
      <c r="BP14" s="1"/>
      <c r="BQ14" s="1"/>
      <c r="BR14" s="1"/>
      <c r="BS14" s="1"/>
      <c r="BT14" s="1"/>
      <c r="BU14" s="9"/>
    </row>
    <row r="17" spans="1:73" ht="58.5" customHeight="1" x14ac:dyDescent="0.35">
      <c r="A17" s="3" t="s">
        <v>73</v>
      </c>
      <c r="B17" s="4" t="s">
        <v>74</v>
      </c>
      <c r="C17" s="4" t="s">
        <v>75</v>
      </c>
      <c r="D17" s="4" t="s">
        <v>76</v>
      </c>
      <c r="E17" s="2">
        <v>46113</v>
      </c>
      <c r="F17" s="2">
        <v>46143</v>
      </c>
      <c r="G17" s="2">
        <v>46174</v>
      </c>
      <c r="H17" s="2">
        <v>46204</v>
      </c>
      <c r="I17" s="2">
        <v>46235</v>
      </c>
      <c r="J17" s="2">
        <v>46266</v>
      </c>
      <c r="K17" s="2">
        <v>46296</v>
      </c>
      <c r="L17" s="2">
        <v>46327</v>
      </c>
      <c r="M17" s="2">
        <v>46357</v>
      </c>
      <c r="N17" s="2">
        <v>46388</v>
      </c>
      <c r="O17" s="2">
        <v>46419</v>
      </c>
      <c r="P17" s="2">
        <v>46447</v>
      </c>
      <c r="Q17" s="8"/>
      <c r="S17" s="2">
        <v>46478</v>
      </c>
      <c r="T17" s="2">
        <v>46508</v>
      </c>
      <c r="U17" s="2">
        <v>46539</v>
      </c>
      <c r="V17" s="2">
        <v>46569</v>
      </c>
      <c r="W17" s="2">
        <v>46600</v>
      </c>
      <c r="X17" s="2">
        <v>46631</v>
      </c>
      <c r="Y17" s="2">
        <v>46661</v>
      </c>
      <c r="Z17" s="2">
        <v>46692</v>
      </c>
      <c r="AA17" s="2">
        <v>46722</v>
      </c>
      <c r="AB17" s="2">
        <v>46753</v>
      </c>
      <c r="AC17" s="2">
        <v>46784</v>
      </c>
      <c r="AD17" s="2">
        <v>46813</v>
      </c>
      <c r="AE17" s="8"/>
      <c r="AG17" s="2">
        <v>46844</v>
      </c>
      <c r="AH17" s="2">
        <v>46874</v>
      </c>
      <c r="AI17" s="2">
        <v>46905</v>
      </c>
      <c r="AJ17" s="2">
        <v>46935</v>
      </c>
      <c r="AK17" s="2">
        <v>46966</v>
      </c>
      <c r="AL17" s="2">
        <v>46997</v>
      </c>
      <c r="AM17" s="2">
        <v>47027</v>
      </c>
      <c r="AN17" s="2">
        <v>47058</v>
      </c>
      <c r="AO17" s="2">
        <v>47088</v>
      </c>
      <c r="AP17" s="2">
        <v>47119</v>
      </c>
      <c r="AQ17" s="2">
        <v>47150</v>
      </c>
      <c r="AR17" s="2">
        <v>47178</v>
      </c>
      <c r="AS17" s="8"/>
      <c r="AU17" s="2">
        <v>47209</v>
      </c>
      <c r="AV17" s="2">
        <v>47239</v>
      </c>
      <c r="AW17" s="2">
        <v>47270</v>
      </c>
      <c r="AX17" s="2">
        <v>47300</v>
      </c>
      <c r="AY17" s="2">
        <v>47331</v>
      </c>
      <c r="AZ17" s="2">
        <v>47362</v>
      </c>
      <c r="BA17" s="2">
        <v>47392</v>
      </c>
      <c r="BB17" s="2">
        <v>47423</v>
      </c>
      <c r="BC17" s="2">
        <v>47453</v>
      </c>
      <c r="BD17" s="2">
        <v>47484</v>
      </c>
      <c r="BE17" s="2">
        <v>47515</v>
      </c>
      <c r="BF17" s="2">
        <v>47543</v>
      </c>
      <c r="BG17" s="8"/>
      <c r="BI17" s="2">
        <v>47574</v>
      </c>
      <c r="BJ17" s="2">
        <v>47604</v>
      </c>
      <c r="BK17" s="2">
        <v>47635</v>
      </c>
      <c r="BL17" s="2">
        <v>47665</v>
      </c>
      <c r="BM17" s="2">
        <v>47696</v>
      </c>
      <c r="BN17" s="2">
        <v>47727</v>
      </c>
      <c r="BO17" s="2">
        <v>47757</v>
      </c>
      <c r="BP17" s="2">
        <v>47788</v>
      </c>
      <c r="BQ17" s="2">
        <v>47818</v>
      </c>
      <c r="BR17" s="2">
        <v>47849</v>
      </c>
      <c r="BS17" s="2">
        <v>47880</v>
      </c>
      <c r="BT17" s="2">
        <v>47908</v>
      </c>
      <c r="BU17" s="8"/>
    </row>
    <row r="18" spans="1:73" ht="16" x14ac:dyDescent="0.35">
      <c r="A18" s="5" t="s">
        <v>77</v>
      </c>
      <c r="B18" s="6" t="s">
        <v>78</v>
      </c>
      <c r="C18" s="6"/>
      <c r="D18" s="7"/>
      <c r="E18" s="1"/>
      <c r="F18" s="1"/>
      <c r="G18" s="1"/>
      <c r="H18" s="1"/>
      <c r="I18" s="1"/>
      <c r="J18" s="1"/>
      <c r="K18" s="1"/>
      <c r="L18" s="1"/>
      <c r="M18" s="1"/>
      <c r="N18" s="1"/>
      <c r="O18" s="1"/>
      <c r="P18" s="1"/>
      <c r="Q18" s="9"/>
      <c r="S18" s="1"/>
      <c r="T18" s="1"/>
      <c r="U18" s="1"/>
      <c r="V18" s="1"/>
      <c r="W18" s="1"/>
      <c r="X18" s="1"/>
      <c r="Y18" s="1"/>
      <c r="Z18" s="1"/>
      <c r="AA18" s="1"/>
      <c r="AB18" s="1"/>
      <c r="AC18" s="1"/>
      <c r="AD18" s="1"/>
      <c r="AE18" s="9"/>
      <c r="AG18" s="1"/>
      <c r="AH18" s="1"/>
      <c r="AI18" s="1"/>
      <c r="AJ18" s="1"/>
      <c r="AK18" s="1"/>
      <c r="AL18" s="1"/>
      <c r="AM18" s="1"/>
      <c r="AN18" s="1"/>
      <c r="AO18" s="1"/>
      <c r="AP18" s="1"/>
      <c r="AQ18" s="1"/>
      <c r="AR18" s="1"/>
      <c r="AS18" s="9"/>
      <c r="AU18" s="1"/>
      <c r="AV18" s="1"/>
      <c r="AW18" s="1"/>
      <c r="AX18" s="1"/>
      <c r="AY18" s="1"/>
      <c r="AZ18" s="1"/>
      <c r="BA18" s="1"/>
      <c r="BB18" s="1"/>
      <c r="BC18" s="1"/>
      <c r="BD18" s="1"/>
      <c r="BE18" s="1"/>
      <c r="BF18" s="1"/>
      <c r="BG18" s="9"/>
      <c r="BI18" s="1"/>
      <c r="BJ18" s="1"/>
      <c r="BK18" s="1"/>
      <c r="BL18" s="1"/>
      <c r="BM18" s="1"/>
      <c r="BN18" s="1"/>
      <c r="BO18" s="1"/>
      <c r="BP18" s="1"/>
      <c r="BQ18" s="1"/>
      <c r="BR18" s="1"/>
      <c r="BS18" s="1"/>
      <c r="BT18" s="1"/>
      <c r="BU18" s="9"/>
    </row>
    <row r="19" spans="1:73" ht="16" x14ac:dyDescent="0.35">
      <c r="A19" s="5" t="s">
        <v>79</v>
      </c>
      <c r="B19" s="6"/>
      <c r="C19" s="6"/>
      <c r="D19" s="7"/>
      <c r="E19" s="1"/>
      <c r="F19" s="1"/>
      <c r="G19" s="1"/>
      <c r="H19" s="1"/>
      <c r="I19" s="1"/>
      <c r="J19" s="1"/>
      <c r="K19" s="1"/>
      <c r="L19" s="1"/>
      <c r="M19" s="1"/>
      <c r="N19" s="1"/>
      <c r="O19" s="1"/>
      <c r="P19" s="1"/>
      <c r="Q19" s="9"/>
      <c r="S19" s="1"/>
      <c r="T19" s="1"/>
      <c r="U19" s="1"/>
      <c r="V19" s="1"/>
      <c r="W19" s="1"/>
      <c r="X19" s="1"/>
      <c r="Y19" s="1"/>
      <c r="Z19" s="1"/>
      <c r="AA19" s="1"/>
      <c r="AB19" s="1"/>
      <c r="AC19" s="1"/>
      <c r="AD19" s="1"/>
      <c r="AE19" s="9"/>
      <c r="AG19" s="1"/>
      <c r="AH19" s="1"/>
      <c r="AI19" s="1"/>
      <c r="AJ19" s="1"/>
      <c r="AK19" s="1"/>
      <c r="AL19" s="1"/>
      <c r="AM19" s="1"/>
      <c r="AN19" s="1"/>
      <c r="AO19" s="1"/>
      <c r="AP19" s="1"/>
      <c r="AQ19" s="1"/>
      <c r="AR19" s="1"/>
      <c r="AS19" s="9"/>
      <c r="AU19" s="1"/>
      <c r="AV19" s="1"/>
      <c r="AW19" s="1"/>
      <c r="AX19" s="1"/>
      <c r="AY19" s="1"/>
      <c r="AZ19" s="1"/>
      <c r="BA19" s="1"/>
      <c r="BB19" s="1"/>
      <c r="BC19" s="1"/>
      <c r="BD19" s="1"/>
      <c r="BE19" s="1"/>
      <c r="BF19" s="1"/>
      <c r="BG19" s="9"/>
      <c r="BI19" s="1"/>
      <c r="BJ19" s="1"/>
      <c r="BK19" s="1"/>
      <c r="BL19" s="1"/>
      <c r="BM19" s="1"/>
      <c r="BN19" s="1"/>
      <c r="BO19" s="1"/>
      <c r="BP19" s="1"/>
      <c r="BQ19" s="1"/>
      <c r="BR19" s="1"/>
      <c r="BS19" s="1"/>
      <c r="BT19" s="1"/>
      <c r="BU19" s="9"/>
    </row>
    <row r="20" spans="1:73" ht="16" x14ac:dyDescent="0.35">
      <c r="A20" s="5" t="s">
        <v>80</v>
      </c>
      <c r="B20" s="6"/>
      <c r="C20" s="6"/>
      <c r="D20" s="7"/>
      <c r="E20" s="1"/>
      <c r="F20" s="1"/>
      <c r="G20" s="1"/>
      <c r="H20" s="1"/>
      <c r="I20" s="1"/>
      <c r="J20" s="1"/>
      <c r="K20" s="1"/>
      <c r="L20" s="1"/>
      <c r="M20" s="1"/>
      <c r="N20" s="1"/>
      <c r="O20" s="1"/>
      <c r="P20" s="1"/>
      <c r="Q20" s="9"/>
      <c r="S20" s="1"/>
      <c r="T20" s="1"/>
      <c r="U20" s="1"/>
      <c r="V20" s="1"/>
      <c r="W20" s="1"/>
      <c r="X20" s="1"/>
      <c r="Y20" s="1"/>
      <c r="Z20" s="1"/>
      <c r="AA20" s="1"/>
      <c r="AB20" s="1"/>
      <c r="AC20" s="1"/>
      <c r="AD20" s="1"/>
      <c r="AE20" s="9"/>
      <c r="AG20" s="1"/>
      <c r="AH20" s="1"/>
      <c r="AI20" s="1"/>
      <c r="AJ20" s="1"/>
      <c r="AK20" s="1"/>
      <c r="AL20" s="1"/>
      <c r="AM20" s="1"/>
      <c r="AN20" s="1"/>
      <c r="AO20" s="1"/>
      <c r="AP20" s="1"/>
      <c r="AQ20" s="1"/>
      <c r="AR20" s="1"/>
      <c r="AS20" s="9"/>
      <c r="AU20" s="1"/>
      <c r="AV20" s="1"/>
      <c r="AW20" s="1"/>
      <c r="AX20" s="1"/>
      <c r="AY20" s="1"/>
      <c r="AZ20" s="1"/>
      <c r="BA20" s="1"/>
      <c r="BB20" s="1"/>
      <c r="BC20" s="1"/>
      <c r="BD20" s="1"/>
      <c r="BE20" s="1"/>
      <c r="BF20" s="1"/>
      <c r="BG20" s="9"/>
      <c r="BI20" s="1"/>
      <c r="BJ20" s="1"/>
      <c r="BK20" s="1"/>
      <c r="BL20" s="1"/>
      <c r="BM20" s="1"/>
      <c r="BN20" s="1"/>
      <c r="BO20" s="1"/>
      <c r="BP20" s="1"/>
      <c r="BQ20" s="1"/>
      <c r="BR20" s="1"/>
      <c r="BS20" s="1"/>
      <c r="BT20" s="1"/>
      <c r="BU20" s="9"/>
    </row>
    <row r="21" spans="1:73" ht="16" x14ac:dyDescent="0.35">
      <c r="A21" s="5"/>
      <c r="B21" s="6"/>
      <c r="C21" s="6"/>
      <c r="D21" s="7"/>
      <c r="E21" s="1"/>
      <c r="F21" s="1"/>
      <c r="G21" s="1"/>
      <c r="H21" s="1"/>
      <c r="I21" s="1"/>
      <c r="J21" s="1"/>
      <c r="K21" s="1"/>
      <c r="L21" s="1"/>
      <c r="M21" s="1"/>
      <c r="N21" s="1"/>
      <c r="O21" s="1"/>
      <c r="P21" s="1"/>
      <c r="Q21" s="9"/>
      <c r="S21" s="1"/>
      <c r="T21" s="1"/>
      <c r="U21" s="1"/>
      <c r="V21" s="1"/>
      <c r="W21" s="1"/>
      <c r="X21" s="1"/>
      <c r="Y21" s="1"/>
      <c r="Z21" s="1"/>
      <c r="AA21" s="1"/>
      <c r="AB21" s="1"/>
      <c r="AC21" s="1"/>
      <c r="AD21" s="1"/>
      <c r="AE21" s="9"/>
      <c r="AG21" s="1"/>
      <c r="AH21" s="1"/>
      <c r="AI21" s="1"/>
      <c r="AJ21" s="1"/>
      <c r="AK21" s="1"/>
      <c r="AL21" s="1"/>
      <c r="AM21" s="1"/>
      <c r="AN21" s="1"/>
      <c r="AO21" s="1"/>
      <c r="AP21" s="1"/>
      <c r="AQ21" s="1"/>
      <c r="AR21" s="1"/>
      <c r="AS21" s="9"/>
      <c r="AU21" s="1"/>
      <c r="AV21" s="1"/>
      <c r="AW21" s="1"/>
      <c r="AX21" s="1"/>
      <c r="AY21" s="1"/>
      <c r="AZ21" s="1"/>
      <c r="BA21" s="1"/>
      <c r="BB21" s="1"/>
      <c r="BC21" s="1"/>
      <c r="BD21" s="1"/>
      <c r="BE21" s="1"/>
      <c r="BF21" s="1"/>
      <c r="BG21" s="9"/>
      <c r="BI21" s="1"/>
      <c r="BJ21" s="1"/>
      <c r="BK21" s="1"/>
      <c r="BL21" s="1"/>
      <c r="BM21" s="1"/>
      <c r="BN21" s="1"/>
      <c r="BO21" s="1"/>
      <c r="BP21" s="1"/>
      <c r="BQ21" s="1"/>
      <c r="BR21" s="1"/>
      <c r="BS21" s="1"/>
      <c r="BT21" s="1"/>
      <c r="BU21" s="9"/>
    </row>
    <row r="24" spans="1:73" ht="58.5" customHeight="1" x14ac:dyDescent="0.35">
      <c r="A24" s="3" t="s">
        <v>81</v>
      </c>
      <c r="B24" s="4" t="s">
        <v>82</v>
      </c>
      <c r="C24" s="4" t="s">
        <v>83</v>
      </c>
      <c r="D24" s="4" t="s">
        <v>76</v>
      </c>
      <c r="E24" s="2">
        <v>46113</v>
      </c>
      <c r="F24" s="2">
        <v>46143</v>
      </c>
      <c r="G24" s="2">
        <v>46174</v>
      </c>
      <c r="H24" s="2">
        <v>46204</v>
      </c>
      <c r="I24" s="2">
        <v>46235</v>
      </c>
      <c r="J24" s="2">
        <v>46266</v>
      </c>
      <c r="K24" s="2">
        <v>46296</v>
      </c>
      <c r="L24" s="2">
        <v>46327</v>
      </c>
      <c r="M24" s="2">
        <v>46357</v>
      </c>
      <c r="N24" s="2">
        <v>46388</v>
      </c>
      <c r="O24" s="2">
        <v>46419</v>
      </c>
      <c r="P24" s="2">
        <v>46447</v>
      </c>
      <c r="Q24" s="8"/>
      <c r="S24" s="2">
        <v>46478</v>
      </c>
      <c r="T24" s="2">
        <v>46508</v>
      </c>
      <c r="U24" s="2">
        <v>46539</v>
      </c>
      <c r="V24" s="2">
        <v>46569</v>
      </c>
      <c r="W24" s="2">
        <v>46600</v>
      </c>
      <c r="X24" s="2">
        <v>46631</v>
      </c>
      <c r="Y24" s="2">
        <v>46661</v>
      </c>
      <c r="Z24" s="2">
        <v>46692</v>
      </c>
      <c r="AA24" s="2">
        <v>46722</v>
      </c>
      <c r="AB24" s="2">
        <v>46753</v>
      </c>
      <c r="AC24" s="2">
        <v>46784</v>
      </c>
      <c r="AD24" s="2">
        <v>46813</v>
      </c>
      <c r="AE24" s="8"/>
      <c r="AG24" s="2">
        <v>46844</v>
      </c>
      <c r="AH24" s="2">
        <v>46874</v>
      </c>
      <c r="AI24" s="2">
        <v>46905</v>
      </c>
      <c r="AJ24" s="2">
        <v>46935</v>
      </c>
      <c r="AK24" s="2">
        <v>46966</v>
      </c>
      <c r="AL24" s="2">
        <v>46997</v>
      </c>
      <c r="AM24" s="2">
        <v>47027</v>
      </c>
      <c r="AN24" s="2">
        <v>47058</v>
      </c>
      <c r="AO24" s="2">
        <v>47088</v>
      </c>
      <c r="AP24" s="2">
        <v>47119</v>
      </c>
      <c r="AQ24" s="2">
        <v>47150</v>
      </c>
      <c r="AR24" s="2">
        <v>47178</v>
      </c>
      <c r="AS24" s="8"/>
      <c r="AU24" s="2">
        <v>47209</v>
      </c>
      <c r="AV24" s="2">
        <v>47239</v>
      </c>
      <c r="AW24" s="2">
        <v>47270</v>
      </c>
      <c r="AX24" s="2">
        <v>47300</v>
      </c>
      <c r="AY24" s="2">
        <v>47331</v>
      </c>
      <c r="AZ24" s="2">
        <v>47362</v>
      </c>
      <c r="BA24" s="2">
        <v>47392</v>
      </c>
      <c r="BB24" s="2">
        <v>47423</v>
      </c>
      <c r="BC24" s="2">
        <v>47453</v>
      </c>
      <c r="BD24" s="2">
        <v>47484</v>
      </c>
      <c r="BE24" s="2">
        <v>47515</v>
      </c>
      <c r="BF24" s="2">
        <v>47543</v>
      </c>
      <c r="BG24" s="8"/>
      <c r="BI24" s="2">
        <v>47574</v>
      </c>
      <c r="BJ24" s="2">
        <v>47604</v>
      </c>
      <c r="BK24" s="2">
        <v>47635</v>
      </c>
      <c r="BL24" s="2">
        <v>47665</v>
      </c>
      <c r="BM24" s="2">
        <v>47696</v>
      </c>
      <c r="BN24" s="2">
        <v>47727</v>
      </c>
      <c r="BO24" s="2">
        <v>47757</v>
      </c>
      <c r="BP24" s="2">
        <v>47788</v>
      </c>
      <c r="BQ24" s="2">
        <v>47818</v>
      </c>
      <c r="BR24" s="2">
        <v>47849</v>
      </c>
      <c r="BS24" s="2">
        <v>47880</v>
      </c>
      <c r="BT24" s="2">
        <v>47908</v>
      </c>
      <c r="BU24" s="8"/>
    </row>
    <row r="25" spans="1:73" ht="16" x14ac:dyDescent="0.35">
      <c r="A25" s="5" t="s">
        <v>84</v>
      </c>
      <c r="B25" s="6" t="s">
        <v>85</v>
      </c>
      <c r="C25" s="6"/>
      <c r="D25" s="7"/>
      <c r="E25" s="1"/>
      <c r="F25" s="1"/>
      <c r="G25" s="1"/>
      <c r="H25" s="1"/>
      <c r="I25" s="1"/>
      <c r="J25" s="1"/>
      <c r="K25" s="1"/>
      <c r="L25" s="1"/>
      <c r="M25" s="1"/>
      <c r="N25" s="1"/>
      <c r="O25" s="1"/>
      <c r="P25" s="1"/>
      <c r="Q25" s="9"/>
      <c r="S25" s="1"/>
      <c r="T25" s="1"/>
      <c r="U25" s="1"/>
      <c r="V25" s="1"/>
      <c r="W25" s="1"/>
      <c r="X25" s="1"/>
      <c r="Y25" s="1"/>
      <c r="Z25" s="1"/>
      <c r="AA25" s="1"/>
      <c r="AB25" s="1"/>
      <c r="AC25" s="1"/>
      <c r="AD25" s="1"/>
      <c r="AE25" s="9"/>
      <c r="AG25" s="1"/>
      <c r="AH25" s="1"/>
      <c r="AI25" s="1"/>
      <c r="AJ25" s="1"/>
      <c r="AK25" s="1"/>
      <c r="AL25" s="1"/>
      <c r="AM25" s="1"/>
      <c r="AN25" s="1"/>
      <c r="AO25" s="1"/>
      <c r="AP25" s="1"/>
      <c r="AQ25" s="1"/>
      <c r="AR25" s="1"/>
      <c r="AS25" s="9"/>
      <c r="AU25" s="1"/>
      <c r="AV25" s="1"/>
      <c r="AW25" s="1"/>
      <c r="AX25" s="1"/>
      <c r="AY25" s="1"/>
      <c r="AZ25" s="1"/>
      <c r="BA25" s="1"/>
      <c r="BB25" s="1"/>
      <c r="BC25" s="1"/>
      <c r="BD25" s="1"/>
      <c r="BE25" s="1"/>
      <c r="BF25" s="1"/>
      <c r="BG25" s="9"/>
      <c r="BI25" s="1"/>
      <c r="BJ25" s="1"/>
      <c r="BK25" s="1"/>
      <c r="BL25" s="1"/>
      <c r="BM25" s="1"/>
      <c r="BN25" s="1"/>
      <c r="BO25" s="1"/>
      <c r="BP25" s="1"/>
      <c r="BQ25" s="1"/>
      <c r="BR25" s="1"/>
      <c r="BS25" s="1"/>
      <c r="BT25" s="1"/>
      <c r="BU25" s="9"/>
    </row>
    <row r="26" spans="1:73" ht="16" x14ac:dyDescent="0.35">
      <c r="A26" s="5" t="s">
        <v>86</v>
      </c>
      <c r="B26" s="6"/>
      <c r="C26" s="6"/>
      <c r="D26" s="7"/>
      <c r="E26" s="1"/>
      <c r="F26" s="1"/>
      <c r="G26" s="1"/>
      <c r="H26" s="1"/>
      <c r="I26" s="1"/>
      <c r="J26" s="1"/>
      <c r="K26" s="1"/>
      <c r="L26" s="1"/>
      <c r="M26" s="1"/>
      <c r="N26" s="1"/>
      <c r="O26" s="1"/>
      <c r="P26" s="1"/>
      <c r="Q26" s="9"/>
      <c r="S26" s="1"/>
      <c r="T26" s="1"/>
      <c r="U26" s="1"/>
      <c r="V26" s="1"/>
      <c r="W26" s="1"/>
      <c r="X26" s="1"/>
      <c r="Y26" s="1"/>
      <c r="Z26" s="1"/>
      <c r="AA26" s="1"/>
      <c r="AB26" s="1"/>
      <c r="AC26" s="1"/>
      <c r="AD26" s="1"/>
      <c r="AE26" s="9"/>
      <c r="AG26" s="1"/>
      <c r="AH26" s="1"/>
      <c r="AI26" s="1"/>
      <c r="AJ26" s="1"/>
      <c r="AK26" s="1"/>
      <c r="AL26" s="1"/>
      <c r="AM26" s="1"/>
      <c r="AN26" s="1"/>
      <c r="AO26" s="1"/>
      <c r="AP26" s="1"/>
      <c r="AQ26" s="1"/>
      <c r="AR26" s="1"/>
      <c r="AS26" s="9"/>
      <c r="AU26" s="1"/>
      <c r="AV26" s="1"/>
      <c r="AW26" s="1"/>
      <c r="AX26" s="1"/>
      <c r="AY26" s="1"/>
      <c r="AZ26" s="1"/>
      <c r="BA26" s="1"/>
      <c r="BB26" s="1"/>
      <c r="BC26" s="1"/>
      <c r="BD26" s="1"/>
      <c r="BE26" s="1"/>
      <c r="BF26" s="1"/>
      <c r="BG26" s="9"/>
      <c r="BI26" s="1"/>
      <c r="BJ26" s="1"/>
      <c r="BK26" s="1"/>
      <c r="BL26" s="1"/>
      <c r="BM26" s="1"/>
      <c r="BN26" s="1"/>
      <c r="BO26" s="1"/>
      <c r="BP26" s="1"/>
      <c r="BQ26" s="1"/>
      <c r="BR26" s="1"/>
      <c r="BS26" s="1"/>
      <c r="BT26" s="1"/>
      <c r="BU26" s="9"/>
    </row>
    <row r="27" spans="1:73" ht="16" x14ac:dyDescent="0.35">
      <c r="A27" s="5" t="s">
        <v>87</v>
      </c>
      <c r="B27" s="6"/>
      <c r="C27" s="6"/>
      <c r="D27" s="7"/>
      <c r="E27" s="1"/>
      <c r="F27" s="1"/>
      <c r="G27" s="1"/>
      <c r="H27" s="1"/>
      <c r="I27" s="1"/>
      <c r="J27" s="1"/>
      <c r="K27" s="1"/>
      <c r="L27" s="1"/>
      <c r="M27" s="1"/>
      <c r="N27" s="1"/>
      <c r="O27" s="1"/>
      <c r="P27" s="1"/>
      <c r="Q27" s="9"/>
      <c r="S27" s="1"/>
      <c r="T27" s="1"/>
      <c r="U27" s="1"/>
      <c r="V27" s="1"/>
      <c r="W27" s="1"/>
      <c r="X27" s="1"/>
      <c r="Y27" s="1"/>
      <c r="Z27" s="1"/>
      <c r="AA27" s="1"/>
      <c r="AB27" s="1"/>
      <c r="AC27" s="1"/>
      <c r="AD27" s="1"/>
      <c r="AE27" s="9"/>
      <c r="AG27" s="1"/>
      <c r="AH27" s="1"/>
      <c r="AI27" s="1"/>
      <c r="AJ27" s="1"/>
      <c r="AK27" s="1"/>
      <c r="AL27" s="1"/>
      <c r="AM27" s="1"/>
      <c r="AN27" s="1"/>
      <c r="AO27" s="1"/>
      <c r="AP27" s="1"/>
      <c r="AQ27" s="1"/>
      <c r="AR27" s="1"/>
      <c r="AS27" s="9"/>
      <c r="AU27" s="1"/>
      <c r="AV27" s="1"/>
      <c r="AW27" s="1"/>
      <c r="AX27" s="1"/>
      <c r="AY27" s="1"/>
      <c r="AZ27" s="1"/>
      <c r="BA27" s="1"/>
      <c r="BB27" s="1"/>
      <c r="BC27" s="1"/>
      <c r="BD27" s="1"/>
      <c r="BE27" s="1"/>
      <c r="BF27" s="1"/>
      <c r="BG27" s="9"/>
      <c r="BI27" s="1"/>
      <c r="BJ27" s="1"/>
      <c r="BK27" s="1"/>
      <c r="BL27" s="1"/>
      <c r="BM27" s="1"/>
      <c r="BN27" s="1"/>
      <c r="BO27" s="1"/>
      <c r="BP27" s="1"/>
      <c r="BQ27" s="1"/>
      <c r="BR27" s="1"/>
      <c r="BS27" s="1"/>
      <c r="BT27" s="1"/>
      <c r="BU27" s="9"/>
    </row>
    <row r="28" spans="1:73" ht="16" x14ac:dyDescent="0.35">
      <c r="A28" s="5"/>
      <c r="B28" s="6"/>
      <c r="C28" s="6"/>
      <c r="D28" s="7"/>
      <c r="E28" s="1"/>
      <c r="F28" s="1"/>
      <c r="G28" s="1"/>
      <c r="H28" s="1"/>
      <c r="I28" s="1"/>
      <c r="J28" s="1"/>
      <c r="K28" s="1"/>
      <c r="L28" s="1"/>
      <c r="M28" s="1"/>
      <c r="N28" s="1"/>
      <c r="O28" s="1"/>
      <c r="P28" s="1"/>
      <c r="Q28" s="9"/>
      <c r="S28" s="1"/>
      <c r="T28" s="1"/>
      <c r="U28" s="1"/>
      <c r="V28" s="1"/>
      <c r="W28" s="1"/>
      <c r="X28" s="1"/>
      <c r="Y28" s="1"/>
      <c r="Z28" s="1"/>
      <c r="AA28" s="1"/>
      <c r="AB28" s="1"/>
      <c r="AC28" s="1"/>
      <c r="AD28" s="1"/>
      <c r="AE28" s="9"/>
      <c r="AG28" s="1"/>
      <c r="AH28" s="1"/>
      <c r="AI28" s="1"/>
      <c r="AJ28" s="1"/>
      <c r="AK28" s="1"/>
      <c r="AL28" s="1"/>
      <c r="AM28" s="1"/>
      <c r="AN28" s="1"/>
      <c r="AO28" s="1"/>
      <c r="AP28" s="1"/>
      <c r="AQ28" s="1"/>
      <c r="AR28" s="1"/>
      <c r="AS28" s="9"/>
      <c r="AU28" s="1"/>
      <c r="AV28" s="1"/>
      <c r="AW28" s="1"/>
      <c r="AX28" s="1"/>
      <c r="AY28" s="1"/>
      <c r="AZ28" s="1"/>
      <c r="BA28" s="1"/>
      <c r="BB28" s="1"/>
      <c r="BC28" s="1"/>
      <c r="BD28" s="1"/>
      <c r="BE28" s="1"/>
      <c r="BF28" s="1"/>
      <c r="BG28" s="9"/>
      <c r="BI28" s="1"/>
      <c r="BJ28" s="1"/>
      <c r="BK28" s="1"/>
      <c r="BL28" s="1"/>
      <c r="BM28" s="1"/>
      <c r="BN28" s="1"/>
      <c r="BO28" s="1"/>
      <c r="BP28" s="1"/>
      <c r="BQ28" s="1"/>
      <c r="BR28" s="1"/>
      <c r="BS28" s="1"/>
      <c r="BT28" s="1"/>
      <c r="BU28" s="9"/>
    </row>
    <row r="31" spans="1:73" ht="58.5" customHeight="1" x14ac:dyDescent="0.35">
      <c r="A31" s="3" t="s">
        <v>88</v>
      </c>
      <c r="B31" s="4" t="s">
        <v>89</v>
      </c>
      <c r="C31" s="4" t="s">
        <v>90</v>
      </c>
      <c r="D31" s="4" t="s">
        <v>76</v>
      </c>
      <c r="E31" s="2">
        <v>46113</v>
      </c>
      <c r="F31" s="2">
        <v>46143</v>
      </c>
      <c r="G31" s="2">
        <v>46174</v>
      </c>
      <c r="H31" s="2">
        <v>46204</v>
      </c>
      <c r="I31" s="2">
        <v>46235</v>
      </c>
      <c r="J31" s="2">
        <v>46266</v>
      </c>
      <c r="K31" s="2">
        <v>46296</v>
      </c>
      <c r="L31" s="2">
        <v>46327</v>
      </c>
      <c r="M31" s="2">
        <v>46357</v>
      </c>
      <c r="N31" s="2">
        <v>46388</v>
      </c>
      <c r="O31" s="2">
        <v>46419</v>
      </c>
      <c r="P31" s="2">
        <v>46447</v>
      </c>
      <c r="Q31" s="8" t="s">
        <v>91</v>
      </c>
      <c r="S31" s="2">
        <v>46478</v>
      </c>
      <c r="T31" s="2">
        <v>46508</v>
      </c>
      <c r="U31" s="2">
        <v>46539</v>
      </c>
      <c r="V31" s="2">
        <v>46569</v>
      </c>
      <c r="W31" s="2">
        <v>46600</v>
      </c>
      <c r="X31" s="2">
        <v>46631</v>
      </c>
      <c r="Y31" s="2">
        <v>46661</v>
      </c>
      <c r="Z31" s="2">
        <v>46692</v>
      </c>
      <c r="AA31" s="2">
        <v>46722</v>
      </c>
      <c r="AB31" s="2">
        <v>46753</v>
      </c>
      <c r="AC31" s="2">
        <v>46784</v>
      </c>
      <c r="AD31" s="2">
        <v>46813</v>
      </c>
      <c r="AE31" s="8" t="s">
        <v>91</v>
      </c>
      <c r="AG31" s="2">
        <v>46844</v>
      </c>
      <c r="AH31" s="2">
        <v>46874</v>
      </c>
      <c r="AI31" s="2">
        <v>46905</v>
      </c>
      <c r="AJ31" s="2">
        <v>46935</v>
      </c>
      <c r="AK31" s="2">
        <v>46966</v>
      </c>
      <c r="AL31" s="2">
        <v>46997</v>
      </c>
      <c r="AM31" s="2">
        <v>47027</v>
      </c>
      <c r="AN31" s="2">
        <v>47058</v>
      </c>
      <c r="AO31" s="2">
        <v>47088</v>
      </c>
      <c r="AP31" s="2">
        <v>47119</v>
      </c>
      <c r="AQ31" s="2">
        <v>47150</v>
      </c>
      <c r="AR31" s="2">
        <v>47178</v>
      </c>
      <c r="AS31" s="8" t="s">
        <v>91</v>
      </c>
      <c r="AU31" s="2">
        <v>47209</v>
      </c>
      <c r="AV31" s="2">
        <v>47239</v>
      </c>
      <c r="AW31" s="2">
        <v>47270</v>
      </c>
      <c r="AX31" s="2">
        <v>47300</v>
      </c>
      <c r="AY31" s="2">
        <v>47331</v>
      </c>
      <c r="AZ31" s="2">
        <v>47362</v>
      </c>
      <c r="BA31" s="2">
        <v>47392</v>
      </c>
      <c r="BB31" s="2">
        <v>47423</v>
      </c>
      <c r="BC31" s="2">
        <v>47453</v>
      </c>
      <c r="BD31" s="2">
        <v>47484</v>
      </c>
      <c r="BE31" s="2">
        <v>47515</v>
      </c>
      <c r="BF31" s="2">
        <v>47543</v>
      </c>
      <c r="BG31" s="8" t="s">
        <v>91</v>
      </c>
      <c r="BI31" s="2">
        <v>47574</v>
      </c>
      <c r="BJ31" s="2">
        <v>47604</v>
      </c>
      <c r="BK31" s="2">
        <v>47635</v>
      </c>
      <c r="BL31" s="2">
        <v>47665</v>
      </c>
      <c r="BM31" s="2">
        <v>47696</v>
      </c>
      <c r="BN31" s="2">
        <v>47727</v>
      </c>
      <c r="BO31" s="2">
        <v>47757</v>
      </c>
      <c r="BP31" s="2">
        <v>47788</v>
      </c>
      <c r="BQ31" s="2">
        <v>47818</v>
      </c>
      <c r="BR31" s="2">
        <v>47849</v>
      </c>
      <c r="BS31" s="2">
        <v>47880</v>
      </c>
      <c r="BT31" s="2">
        <v>47908</v>
      </c>
      <c r="BU31" s="8" t="s">
        <v>91</v>
      </c>
    </row>
    <row r="32" spans="1:73" ht="35.15" customHeight="1" x14ac:dyDescent="0.35">
      <c r="A32" s="5" t="s">
        <v>92</v>
      </c>
      <c r="B32" s="6" t="s">
        <v>93</v>
      </c>
      <c r="C32" s="6"/>
      <c r="D32" s="7"/>
      <c r="E32" s="1"/>
      <c r="F32" s="1"/>
      <c r="G32" s="1"/>
      <c r="H32" s="1"/>
      <c r="I32" s="1"/>
      <c r="J32" s="1"/>
      <c r="K32" s="1"/>
      <c r="L32" s="1"/>
      <c r="M32" s="1"/>
      <c r="N32" s="1"/>
      <c r="O32" s="1"/>
      <c r="P32" s="1"/>
      <c r="Q32" s="9">
        <f>SUM(E32:P32)</f>
        <v>0</v>
      </c>
      <c r="S32" s="1"/>
      <c r="T32" s="1"/>
      <c r="U32" s="1"/>
      <c r="V32" s="1"/>
      <c r="W32" s="1"/>
      <c r="X32" s="1"/>
      <c r="Y32" s="1"/>
      <c r="Z32" s="1"/>
      <c r="AA32" s="1"/>
      <c r="AB32" s="1"/>
      <c r="AC32" s="1"/>
      <c r="AD32" s="1"/>
      <c r="AE32" s="9">
        <f>SUM(S32:AD32)</f>
        <v>0</v>
      </c>
      <c r="AG32" s="1"/>
      <c r="AH32" s="1"/>
      <c r="AI32" s="1"/>
      <c r="AJ32" s="1"/>
      <c r="AK32" s="1"/>
      <c r="AL32" s="1"/>
      <c r="AM32" s="1"/>
      <c r="AN32" s="1"/>
      <c r="AO32" s="1"/>
      <c r="AP32" s="1"/>
      <c r="AQ32" s="1"/>
      <c r="AR32" s="1"/>
      <c r="AS32" s="9">
        <f>SUM(AG32:AR32)</f>
        <v>0</v>
      </c>
      <c r="AU32" s="1"/>
      <c r="AV32" s="1"/>
      <c r="AW32" s="1"/>
      <c r="AX32" s="1"/>
      <c r="AY32" s="1"/>
      <c r="AZ32" s="1"/>
      <c r="BA32" s="1"/>
      <c r="BB32" s="1"/>
      <c r="BC32" s="1"/>
      <c r="BD32" s="1"/>
      <c r="BE32" s="1"/>
      <c r="BF32" s="1"/>
      <c r="BG32" s="9">
        <f>SUM(AU32:BF32)</f>
        <v>0</v>
      </c>
      <c r="BI32" s="1"/>
      <c r="BJ32" s="1"/>
      <c r="BK32" s="1"/>
      <c r="BL32" s="1"/>
      <c r="BM32" s="1"/>
      <c r="BN32" s="1"/>
      <c r="BO32" s="1"/>
      <c r="BP32" s="1"/>
      <c r="BQ32" s="1"/>
      <c r="BR32" s="1"/>
      <c r="BS32" s="1"/>
      <c r="BT32" s="1"/>
      <c r="BU32" s="9">
        <f>SUM(BI32:BT32)</f>
        <v>0</v>
      </c>
    </row>
    <row r="33" spans="1:73" ht="16" x14ac:dyDescent="0.35">
      <c r="A33" s="5" t="s">
        <v>94</v>
      </c>
      <c r="B33" s="6"/>
      <c r="C33" s="6"/>
      <c r="D33" s="7"/>
      <c r="E33" s="1"/>
      <c r="F33" s="1"/>
      <c r="G33" s="1"/>
      <c r="H33" s="1"/>
      <c r="I33" s="1"/>
      <c r="J33" s="1"/>
      <c r="K33" s="1"/>
      <c r="L33" s="1"/>
      <c r="M33" s="1"/>
      <c r="N33" s="1"/>
      <c r="O33" s="1"/>
      <c r="P33" s="1"/>
      <c r="Q33" s="9">
        <f>SUM(E33:P33)</f>
        <v>0</v>
      </c>
      <c r="S33" s="1"/>
      <c r="T33" s="1"/>
      <c r="U33" s="1"/>
      <c r="V33" s="1"/>
      <c r="W33" s="1"/>
      <c r="X33" s="1"/>
      <c r="Y33" s="1"/>
      <c r="Z33" s="1"/>
      <c r="AA33" s="1"/>
      <c r="AB33" s="1"/>
      <c r="AC33" s="1"/>
      <c r="AD33" s="1"/>
      <c r="AE33" s="9">
        <f>SUM(S33:AD33)</f>
        <v>0</v>
      </c>
      <c r="AG33" s="1"/>
      <c r="AH33" s="1"/>
      <c r="AI33" s="1"/>
      <c r="AJ33" s="1"/>
      <c r="AK33" s="1"/>
      <c r="AL33" s="1"/>
      <c r="AM33" s="1"/>
      <c r="AN33" s="1"/>
      <c r="AO33" s="1"/>
      <c r="AP33" s="1"/>
      <c r="AQ33" s="1"/>
      <c r="AR33" s="1"/>
      <c r="AS33" s="9">
        <f>SUM(AG33:AR33)</f>
        <v>0</v>
      </c>
      <c r="AU33" s="1"/>
      <c r="AV33" s="1"/>
      <c r="AW33" s="1"/>
      <c r="AX33" s="1"/>
      <c r="AY33" s="1"/>
      <c r="AZ33" s="1"/>
      <c r="BA33" s="1"/>
      <c r="BB33" s="1"/>
      <c r="BC33" s="1"/>
      <c r="BD33" s="1"/>
      <c r="BE33" s="1"/>
      <c r="BF33" s="1"/>
      <c r="BG33" s="9">
        <f>SUM(AU33:BF33)</f>
        <v>0</v>
      </c>
      <c r="BI33" s="1"/>
      <c r="BJ33" s="1"/>
      <c r="BK33" s="1"/>
      <c r="BL33" s="1"/>
      <c r="BM33" s="1"/>
      <c r="BN33" s="1"/>
      <c r="BO33" s="1"/>
      <c r="BP33" s="1"/>
      <c r="BQ33" s="1"/>
      <c r="BR33" s="1"/>
      <c r="BS33" s="1"/>
      <c r="BT33" s="1"/>
      <c r="BU33" s="9">
        <f>SUM(BI33:BT33)</f>
        <v>0</v>
      </c>
    </row>
    <row r="34" spans="1:73" ht="16" x14ac:dyDescent="0.35">
      <c r="A34" s="5" t="s">
        <v>95</v>
      </c>
      <c r="B34" s="6"/>
      <c r="C34" s="6"/>
      <c r="D34" s="7"/>
      <c r="E34" s="1"/>
      <c r="F34" s="1"/>
      <c r="G34" s="1"/>
      <c r="H34" s="1"/>
      <c r="I34" s="1"/>
      <c r="J34" s="1"/>
      <c r="K34" s="1"/>
      <c r="L34" s="1"/>
      <c r="M34" s="1"/>
      <c r="N34" s="1"/>
      <c r="O34" s="1"/>
      <c r="P34" s="1"/>
      <c r="Q34" s="9">
        <f>SUM(E34:P34)</f>
        <v>0</v>
      </c>
      <c r="S34" s="1"/>
      <c r="T34" s="1"/>
      <c r="U34" s="1"/>
      <c r="V34" s="1"/>
      <c r="W34" s="1"/>
      <c r="X34" s="1"/>
      <c r="Y34" s="1"/>
      <c r="Z34" s="1"/>
      <c r="AA34" s="1"/>
      <c r="AB34" s="1"/>
      <c r="AC34" s="1"/>
      <c r="AD34" s="1"/>
      <c r="AE34" s="9">
        <f>SUM(S34:AD34)</f>
        <v>0</v>
      </c>
      <c r="AG34" s="1"/>
      <c r="AH34" s="1"/>
      <c r="AI34" s="1"/>
      <c r="AJ34" s="1"/>
      <c r="AK34" s="1"/>
      <c r="AL34" s="1"/>
      <c r="AM34" s="1"/>
      <c r="AN34" s="1"/>
      <c r="AO34" s="1"/>
      <c r="AP34" s="1"/>
      <c r="AQ34" s="1"/>
      <c r="AR34" s="1"/>
      <c r="AS34" s="9">
        <f>SUM(AG34:AR34)</f>
        <v>0</v>
      </c>
      <c r="AU34" s="1"/>
      <c r="AV34" s="1"/>
      <c r="AW34" s="1"/>
      <c r="AX34" s="1"/>
      <c r="AY34" s="1"/>
      <c r="AZ34" s="1"/>
      <c r="BA34" s="1"/>
      <c r="BB34" s="1"/>
      <c r="BC34" s="1"/>
      <c r="BD34" s="1"/>
      <c r="BE34" s="1"/>
      <c r="BF34" s="1"/>
      <c r="BG34" s="9">
        <f>SUM(AU34:BF34)</f>
        <v>0</v>
      </c>
      <c r="BI34" s="1"/>
      <c r="BJ34" s="1"/>
      <c r="BK34" s="1"/>
      <c r="BL34" s="1"/>
      <c r="BM34" s="1"/>
      <c r="BN34" s="1"/>
      <c r="BO34" s="1"/>
      <c r="BP34" s="1"/>
      <c r="BQ34" s="1"/>
      <c r="BR34" s="1"/>
      <c r="BS34" s="1"/>
      <c r="BT34" s="1"/>
      <c r="BU34" s="9">
        <f>SUM(BI34:BT34)</f>
        <v>0</v>
      </c>
    </row>
    <row r="35" spans="1:73" ht="16" x14ac:dyDescent="0.35">
      <c r="A35" s="5"/>
      <c r="B35" s="6"/>
      <c r="C35" s="6"/>
      <c r="D35" s="7"/>
      <c r="E35" s="1"/>
      <c r="F35" s="1"/>
      <c r="G35" s="1"/>
      <c r="H35" s="1"/>
      <c r="I35" s="1"/>
      <c r="J35" s="1"/>
      <c r="K35" s="1"/>
      <c r="L35" s="1"/>
      <c r="M35" s="1"/>
      <c r="N35" s="1"/>
      <c r="O35" s="1"/>
      <c r="P35" s="1"/>
      <c r="Q35" s="9">
        <f>SUM(E35:P35)</f>
        <v>0</v>
      </c>
      <c r="S35" s="1"/>
      <c r="T35" s="1"/>
      <c r="U35" s="1"/>
      <c r="V35" s="1"/>
      <c r="W35" s="1"/>
      <c r="X35" s="1"/>
      <c r="Y35" s="1"/>
      <c r="Z35" s="1"/>
      <c r="AA35" s="1"/>
      <c r="AB35" s="1"/>
      <c r="AC35" s="1"/>
      <c r="AD35" s="1"/>
      <c r="AE35" s="9">
        <f>SUM(S35:AD35)</f>
        <v>0</v>
      </c>
      <c r="AG35" s="1"/>
      <c r="AH35" s="1"/>
      <c r="AI35" s="1"/>
      <c r="AJ35" s="1"/>
      <c r="AK35" s="1"/>
      <c r="AL35" s="1"/>
      <c r="AM35" s="1"/>
      <c r="AN35" s="1"/>
      <c r="AO35" s="1"/>
      <c r="AP35" s="1"/>
      <c r="AQ35" s="1"/>
      <c r="AR35" s="1"/>
      <c r="AS35" s="9">
        <f>SUM(AG35:AR35)</f>
        <v>0</v>
      </c>
      <c r="AU35" s="1"/>
      <c r="AV35" s="1"/>
      <c r="AW35" s="1"/>
      <c r="AX35" s="1"/>
      <c r="AY35" s="1"/>
      <c r="AZ35" s="1"/>
      <c r="BA35" s="1"/>
      <c r="BB35" s="1"/>
      <c r="BC35" s="1"/>
      <c r="BD35" s="1"/>
      <c r="BE35" s="1"/>
      <c r="BF35" s="1"/>
      <c r="BG35" s="9">
        <f>SUM(AU35:BF35)</f>
        <v>0</v>
      </c>
      <c r="BI35" s="1"/>
      <c r="BJ35" s="1"/>
      <c r="BK35" s="1"/>
      <c r="BL35" s="1"/>
      <c r="BM35" s="1"/>
      <c r="BN35" s="1"/>
      <c r="BO35" s="1"/>
      <c r="BP35" s="1"/>
      <c r="BQ35" s="1"/>
      <c r="BR35" s="1"/>
      <c r="BS35" s="1"/>
      <c r="BT35" s="1"/>
      <c r="BU35" s="9">
        <f>SUM(BI35:BT35)</f>
        <v>0</v>
      </c>
    </row>
    <row r="38" spans="1:73" ht="58.5" customHeight="1" x14ac:dyDescent="0.35">
      <c r="A38" s="3" t="s">
        <v>96</v>
      </c>
      <c r="B38" s="4" t="s">
        <v>97</v>
      </c>
      <c r="C38" s="4" t="s">
        <v>98</v>
      </c>
      <c r="D38" s="4" t="s">
        <v>76</v>
      </c>
      <c r="E38" s="2">
        <v>46113</v>
      </c>
      <c r="F38" s="2">
        <v>46143</v>
      </c>
      <c r="G38" s="2">
        <v>46174</v>
      </c>
      <c r="H38" s="2">
        <v>46204</v>
      </c>
      <c r="I38" s="2">
        <v>46235</v>
      </c>
      <c r="J38" s="2">
        <v>46266</v>
      </c>
      <c r="K38" s="2">
        <v>46296</v>
      </c>
      <c r="L38" s="2">
        <v>46327</v>
      </c>
      <c r="M38" s="2">
        <v>46357</v>
      </c>
      <c r="N38" s="2">
        <v>46388</v>
      </c>
      <c r="O38" s="2">
        <v>46419</v>
      </c>
      <c r="P38" s="2">
        <v>46447</v>
      </c>
      <c r="Q38" s="8" t="s">
        <v>91</v>
      </c>
      <c r="S38" s="2">
        <v>46478</v>
      </c>
      <c r="T38" s="2">
        <v>46508</v>
      </c>
      <c r="U38" s="2">
        <v>46539</v>
      </c>
      <c r="V38" s="2">
        <v>46569</v>
      </c>
      <c r="W38" s="2">
        <v>46600</v>
      </c>
      <c r="X38" s="2">
        <v>46631</v>
      </c>
      <c r="Y38" s="2">
        <v>46661</v>
      </c>
      <c r="Z38" s="2">
        <v>46692</v>
      </c>
      <c r="AA38" s="2">
        <v>46722</v>
      </c>
      <c r="AB38" s="2">
        <v>46753</v>
      </c>
      <c r="AC38" s="2">
        <v>46784</v>
      </c>
      <c r="AD38" s="2">
        <v>46813</v>
      </c>
      <c r="AE38" s="8" t="s">
        <v>91</v>
      </c>
      <c r="AG38" s="2">
        <v>46844</v>
      </c>
      <c r="AH38" s="2">
        <v>46874</v>
      </c>
      <c r="AI38" s="2">
        <v>46905</v>
      </c>
      <c r="AJ38" s="2">
        <v>46935</v>
      </c>
      <c r="AK38" s="2">
        <v>46966</v>
      </c>
      <c r="AL38" s="2">
        <v>46997</v>
      </c>
      <c r="AM38" s="2">
        <v>47027</v>
      </c>
      <c r="AN38" s="2">
        <v>47058</v>
      </c>
      <c r="AO38" s="2">
        <v>47088</v>
      </c>
      <c r="AP38" s="2">
        <v>47119</v>
      </c>
      <c r="AQ38" s="2">
        <v>47150</v>
      </c>
      <c r="AR38" s="2">
        <v>47178</v>
      </c>
      <c r="AS38" s="8" t="s">
        <v>91</v>
      </c>
      <c r="AU38" s="2">
        <v>47209</v>
      </c>
      <c r="AV38" s="2">
        <v>47239</v>
      </c>
      <c r="AW38" s="2">
        <v>47270</v>
      </c>
      <c r="AX38" s="2">
        <v>47300</v>
      </c>
      <c r="AY38" s="2">
        <v>47331</v>
      </c>
      <c r="AZ38" s="2">
        <v>47362</v>
      </c>
      <c r="BA38" s="2">
        <v>47392</v>
      </c>
      <c r="BB38" s="2">
        <v>47423</v>
      </c>
      <c r="BC38" s="2">
        <v>47453</v>
      </c>
      <c r="BD38" s="2">
        <v>47484</v>
      </c>
      <c r="BE38" s="2">
        <v>47515</v>
      </c>
      <c r="BF38" s="2">
        <v>47543</v>
      </c>
      <c r="BG38" s="8" t="s">
        <v>91</v>
      </c>
      <c r="BI38" s="2">
        <v>47574</v>
      </c>
      <c r="BJ38" s="2">
        <v>47604</v>
      </c>
      <c r="BK38" s="2">
        <v>47635</v>
      </c>
      <c r="BL38" s="2">
        <v>47665</v>
      </c>
      <c r="BM38" s="2">
        <v>47696</v>
      </c>
      <c r="BN38" s="2">
        <v>47727</v>
      </c>
      <c r="BO38" s="2">
        <v>47757</v>
      </c>
      <c r="BP38" s="2">
        <v>47788</v>
      </c>
      <c r="BQ38" s="2">
        <v>47818</v>
      </c>
      <c r="BR38" s="2">
        <v>47849</v>
      </c>
      <c r="BS38" s="2">
        <v>47880</v>
      </c>
      <c r="BT38" s="2">
        <v>47908</v>
      </c>
      <c r="BU38" s="8" t="s">
        <v>91</v>
      </c>
    </row>
    <row r="39" spans="1:73" ht="28" x14ac:dyDescent="0.35">
      <c r="A39" s="5" t="s">
        <v>99</v>
      </c>
      <c r="B39" s="6" t="s">
        <v>100</v>
      </c>
      <c r="C39" s="6"/>
      <c r="D39" s="7"/>
      <c r="E39" s="1"/>
      <c r="F39" s="1"/>
      <c r="G39" s="1"/>
      <c r="H39" s="1"/>
      <c r="I39" s="1"/>
      <c r="J39" s="1"/>
      <c r="K39" s="1"/>
      <c r="L39" s="1"/>
      <c r="M39" s="1"/>
      <c r="N39" s="1"/>
      <c r="O39" s="1"/>
      <c r="P39" s="1"/>
      <c r="Q39" s="9">
        <f>SUM(E39:P39)</f>
        <v>0</v>
      </c>
      <c r="S39" s="1"/>
      <c r="T39" s="1"/>
      <c r="U39" s="1"/>
      <c r="V39" s="1"/>
      <c r="W39" s="1"/>
      <c r="X39" s="1"/>
      <c r="Y39" s="1"/>
      <c r="Z39" s="1"/>
      <c r="AA39" s="1"/>
      <c r="AB39" s="1"/>
      <c r="AC39" s="1"/>
      <c r="AD39" s="1"/>
      <c r="AE39" s="9">
        <f>SUM(S39:AD39)</f>
        <v>0</v>
      </c>
      <c r="AG39" s="1"/>
      <c r="AH39" s="1"/>
      <c r="AI39" s="1"/>
      <c r="AJ39" s="1"/>
      <c r="AK39" s="1"/>
      <c r="AL39" s="1"/>
      <c r="AM39" s="1"/>
      <c r="AN39" s="1"/>
      <c r="AO39" s="1"/>
      <c r="AP39" s="1"/>
      <c r="AQ39" s="1"/>
      <c r="AR39" s="1"/>
      <c r="AS39" s="9">
        <f>SUM(AG39:AR39)</f>
        <v>0</v>
      </c>
      <c r="AU39" s="1"/>
      <c r="AV39" s="1"/>
      <c r="AW39" s="1"/>
      <c r="AX39" s="1"/>
      <c r="AY39" s="1"/>
      <c r="AZ39" s="1"/>
      <c r="BA39" s="1"/>
      <c r="BB39" s="1"/>
      <c r="BC39" s="1"/>
      <c r="BD39" s="1"/>
      <c r="BE39" s="1"/>
      <c r="BF39" s="1"/>
      <c r="BG39" s="9">
        <f>SUM(AU39:BF39)</f>
        <v>0</v>
      </c>
      <c r="BI39" s="1"/>
      <c r="BJ39" s="1"/>
      <c r="BK39" s="1"/>
      <c r="BL39" s="1"/>
      <c r="BM39" s="1"/>
      <c r="BN39" s="1"/>
      <c r="BO39" s="1"/>
      <c r="BP39" s="1"/>
      <c r="BQ39" s="1"/>
      <c r="BR39" s="1"/>
      <c r="BS39" s="1"/>
      <c r="BT39" s="1"/>
      <c r="BU39" s="9">
        <f>SUM(BI39:BT39)</f>
        <v>0</v>
      </c>
    </row>
    <row r="40" spans="1:73" ht="16" x14ac:dyDescent="0.35">
      <c r="A40" s="5" t="s">
        <v>101</v>
      </c>
      <c r="B40" s="6"/>
      <c r="C40" s="6"/>
      <c r="D40" s="7"/>
      <c r="E40" s="1"/>
      <c r="F40" s="1"/>
      <c r="G40" s="1"/>
      <c r="H40" s="1"/>
      <c r="I40" s="1"/>
      <c r="J40" s="1"/>
      <c r="K40" s="1"/>
      <c r="L40" s="1"/>
      <c r="M40" s="1"/>
      <c r="N40" s="1"/>
      <c r="O40" s="1"/>
      <c r="P40" s="1"/>
      <c r="Q40" s="9">
        <f>SUM(E40:P40)</f>
        <v>0</v>
      </c>
      <c r="S40" s="1"/>
      <c r="T40" s="1"/>
      <c r="U40" s="1"/>
      <c r="V40" s="1"/>
      <c r="W40" s="1"/>
      <c r="X40" s="1"/>
      <c r="Y40" s="1"/>
      <c r="Z40" s="1"/>
      <c r="AA40" s="1"/>
      <c r="AB40" s="1"/>
      <c r="AC40" s="1"/>
      <c r="AD40" s="1"/>
      <c r="AE40" s="9">
        <f>SUM(S40:AD40)</f>
        <v>0</v>
      </c>
      <c r="AG40" s="1"/>
      <c r="AH40" s="1"/>
      <c r="AI40" s="1"/>
      <c r="AJ40" s="1"/>
      <c r="AK40" s="1"/>
      <c r="AL40" s="1"/>
      <c r="AM40" s="1"/>
      <c r="AN40" s="1"/>
      <c r="AO40" s="1"/>
      <c r="AP40" s="1"/>
      <c r="AQ40" s="1"/>
      <c r="AR40" s="1"/>
      <c r="AS40" s="9">
        <f>SUM(AG40:AR40)</f>
        <v>0</v>
      </c>
      <c r="AU40" s="1"/>
      <c r="AV40" s="1"/>
      <c r="AW40" s="1"/>
      <c r="AX40" s="1"/>
      <c r="AY40" s="1"/>
      <c r="AZ40" s="1"/>
      <c r="BA40" s="1"/>
      <c r="BB40" s="1"/>
      <c r="BC40" s="1"/>
      <c r="BD40" s="1"/>
      <c r="BE40" s="1"/>
      <c r="BF40" s="1"/>
      <c r="BG40" s="9">
        <f>SUM(AU40:BF40)</f>
        <v>0</v>
      </c>
      <c r="BI40" s="1"/>
      <c r="BJ40" s="1"/>
      <c r="BK40" s="1"/>
      <c r="BL40" s="1"/>
      <c r="BM40" s="1"/>
      <c r="BN40" s="1"/>
      <c r="BO40" s="1"/>
      <c r="BP40" s="1"/>
      <c r="BQ40" s="1"/>
      <c r="BR40" s="1"/>
      <c r="BS40" s="1"/>
      <c r="BT40" s="1"/>
      <c r="BU40" s="9">
        <f>SUM(BI40:BT40)</f>
        <v>0</v>
      </c>
    </row>
    <row r="41" spans="1:73" ht="16" x14ac:dyDescent="0.35">
      <c r="A41" s="5" t="s">
        <v>102</v>
      </c>
      <c r="B41" s="6"/>
      <c r="C41" s="6"/>
      <c r="D41" s="7"/>
      <c r="E41" s="1"/>
      <c r="F41" s="1"/>
      <c r="G41" s="1"/>
      <c r="H41" s="1"/>
      <c r="I41" s="1"/>
      <c r="J41" s="1"/>
      <c r="K41" s="1"/>
      <c r="L41" s="1"/>
      <c r="M41" s="1"/>
      <c r="N41" s="1"/>
      <c r="O41" s="1"/>
      <c r="P41" s="1"/>
      <c r="Q41" s="9">
        <f>SUM(E41:P41)</f>
        <v>0</v>
      </c>
      <c r="S41" s="1"/>
      <c r="T41" s="1"/>
      <c r="U41" s="1"/>
      <c r="V41" s="1"/>
      <c r="W41" s="1"/>
      <c r="X41" s="1"/>
      <c r="Y41" s="1"/>
      <c r="Z41" s="1"/>
      <c r="AA41" s="1"/>
      <c r="AB41" s="1"/>
      <c r="AC41" s="1"/>
      <c r="AD41" s="1"/>
      <c r="AE41" s="9">
        <f>SUM(S41:AD41)</f>
        <v>0</v>
      </c>
      <c r="AG41" s="1"/>
      <c r="AH41" s="1"/>
      <c r="AI41" s="1"/>
      <c r="AJ41" s="1"/>
      <c r="AK41" s="1"/>
      <c r="AL41" s="1"/>
      <c r="AM41" s="1"/>
      <c r="AN41" s="1"/>
      <c r="AO41" s="1"/>
      <c r="AP41" s="1"/>
      <c r="AQ41" s="1"/>
      <c r="AR41" s="1"/>
      <c r="AS41" s="9">
        <f>SUM(AG41:AR41)</f>
        <v>0</v>
      </c>
      <c r="AU41" s="1"/>
      <c r="AV41" s="1"/>
      <c r="AW41" s="1"/>
      <c r="AX41" s="1"/>
      <c r="AY41" s="1"/>
      <c r="AZ41" s="1"/>
      <c r="BA41" s="1"/>
      <c r="BB41" s="1"/>
      <c r="BC41" s="1"/>
      <c r="BD41" s="1"/>
      <c r="BE41" s="1"/>
      <c r="BF41" s="1"/>
      <c r="BG41" s="9">
        <f>SUM(AU41:BF41)</f>
        <v>0</v>
      </c>
      <c r="BI41" s="1"/>
      <c r="BJ41" s="1"/>
      <c r="BK41" s="1"/>
      <c r="BL41" s="1"/>
      <c r="BM41" s="1"/>
      <c r="BN41" s="1"/>
      <c r="BO41" s="1"/>
      <c r="BP41" s="1"/>
      <c r="BQ41" s="1"/>
      <c r="BR41" s="1"/>
      <c r="BS41" s="1"/>
      <c r="BT41" s="1"/>
      <c r="BU41" s="9">
        <f>SUM(BI41:BT41)</f>
        <v>0</v>
      </c>
    </row>
    <row r="42" spans="1:73" ht="16" x14ac:dyDescent="0.35">
      <c r="A42" s="5"/>
      <c r="B42" s="6"/>
      <c r="C42" s="6"/>
      <c r="D42" s="7"/>
      <c r="E42" s="1"/>
      <c r="F42" s="1"/>
      <c r="G42" s="1"/>
      <c r="H42" s="1"/>
      <c r="I42" s="1"/>
      <c r="J42" s="1"/>
      <c r="K42" s="1"/>
      <c r="L42" s="1"/>
      <c r="M42" s="1"/>
      <c r="N42" s="1"/>
      <c r="O42" s="1"/>
      <c r="P42" s="1"/>
      <c r="Q42" s="9"/>
      <c r="S42" s="1"/>
      <c r="T42" s="1"/>
      <c r="U42" s="1"/>
      <c r="V42" s="1"/>
      <c r="W42" s="1"/>
      <c r="X42" s="1"/>
      <c r="Y42" s="1"/>
      <c r="Z42" s="1"/>
      <c r="AA42" s="1"/>
      <c r="AB42" s="1"/>
      <c r="AC42" s="1"/>
      <c r="AD42" s="1"/>
      <c r="AE42" s="9"/>
      <c r="AG42" s="1"/>
      <c r="AH42" s="1"/>
      <c r="AI42" s="1"/>
      <c r="AJ42" s="1"/>
      <c r="AK42" s="1"/>
      <c r="AL42" s="1"/>
      <c r="AM42" s="1"/>
      <c r="AN42" s="1"/>
      <c r="AO42" s="1"/>
      <c r="AP42" s="1"/>
      <c r="AQ42" s="1"/>
      <c r="AR42" s="1"/>
      <c r="AS42" s="9"/>
      <c r="AU42" s="1"/>
      <c r="AV42" s="1"/>
      <c r="AW42" s="1"/>
      <c r="AX42" s="1"/>
      <c r="AY42" s="1"/>
      <c r="AZ42" s="1"/>
      <c r="BA42" s="1"/>
      <c r="BB42" s="1"/>
      <c r="BC42" s="1"/>
      <c r="BD42" s="1"/>
      <c r="BE42" s="1"/>
      <c r="BF42" s="1"/>
      <c r="BG42" s="9"/>
      <c r="BI42" s="1"/>
      <c r="BJ42" s="1"/>
      <c r="BK42" s="1"/>
      <c r="BL42" s="1"/>
      <c r="BM42" s="1"/>
      <c r="BN42" s="1"/>
      <c r="BO42" s="1"/>
      <c r="BP42" s="1"/>
      <c r="BQ42" s="1"/>
      <c r="BR42" s="1"/>
      <c r="BS42" s="1"/>
      <c r="BT42" s="1"/>
      <c r="BU42" s="9"/>
    </row>
    <row r="45" spans="1:73" ht="58.5" customHeight="1" x14ac:dyDescent="0.35">
      <c r="A45" s="3" t="s">
        <v>103</v>
      </c>
      <c r="B45" s="4" t="s">
        <v>104</v>
      </c>
      <c r="C45" s="4" t="s">
        <v>105</v>
      </c>
      <c r="D45" s="4"/>
      <c r="E45" s="2">
        <v>46113</v>
      </c>
      <c r="F45" s="2">
        <v>46143</v>
      </c>
      <c r="G45" s="2">
        <v>46174</v>
      </c>
      <c r="H45" s="2">
        <v>46204</v>
      </c>
      <c r="I45" s="2">
        <v>46235</v>
      </c>
      <c r="J45" s="2">
        <v>46266</v>
      </c>
      <c r="K45" s="2">
        <v>46296</v>
      </c>
      <c r="L45" s="2">
        <v>46327</v>
      </c>
      <c r="M45" s="2">
        <v>46357</v>
      </c>
      <c r="N45" s="2">
        <v>46388</v>
      </c>
      <c r="O45" s="2">
        <v>46419</v>
      </c>
      <c r="P45" s="2">
        <v>46447</v>
      </c>
      <c r="Q45" s="8" t="s">
        <v>91</v>
      </c>
      <c r="S45" s="2">
        <v>46478</v>
      </c>
      <c r="T45" s="2">
        <v>46508</v>
      </c>
      <c r="U45" s="2">
        <v>46539</v>
      </c>
      <c r="V45" s="2">
        <v>46569</v>
      </c>
      <c r="W45" s="2">
        <v>46600</v>
      </c>
      <c r="X45" s="2">
        <v>46631</v>
      </c>
      <c r="Y45" s="2">
        <v>46661</v>
      </c>
      <c r="Z45" s="2">
        <v>46692</v>
      </c>
      <c r="AA45" s="2">
        <v>46722</v>
      </c>
      <c r="AB45" s="2">
        <v>46753</v>
      </c>
      <c r="AC45" s="2">
        <v>46784</v>
      </c>
      <c r="AD45" s="2">
        <v>46813</v>
      </c>
      <c r="AE45" s="8" t="s">
        <v>91</v>
      </c>
      <c r="AG45" s="2">
        <v>46844</v>
      </c>
      <c r="AH45" s="2">
        <v>46874</v>
      </c>
      <c r="AI45" s="2">
        <v>46905</v>
      </c>
      <c r="AJ45" s="2">
        <v>46935</v>
      </c>
      <c r="AK45" s="2">
        <v>46966</v>
      </c>
      <c r="AL45" s="2">
        <v>46997</v>
      </c>
      <c r="AM45" s="2">
        <v>47027</v>
      </c>
      <c r="AN45" s="2">
        <v>47058</v>
      </c>
      <c r="AO45" s="2">
        <v>47088</v>
      </c>
      <c r="AP45" s="2">
        <v>47119</v>
      </c>
      <c r="AQ45" s="2">
        <v>47150</v>
      </c>
      <c r="AR45" s="2">
        <v>47178</v>
      </c>
      <c r="AS45" s="8" t="s">
        <v>91</v>
      </c>
      <c r="AU45" s="2">
        <v>47209</v>
      </c>
      <c r="AV45" s="2">
        <v>47239</v>
      </c>
      <c r="AW45" s="2">
        <v>47270</v>
      </c>
      <c r="AX45" s="2">
        <v>47300</v>
      </c>
      <c r="AY45" s="2">
        <v>47331</v>
      </c>
      <c r="AZ45" s="2">
        <v>47362</v>
      </c>
      <c r="BA45" s="2">
        <v>47392</v>
      </c>
      <c r="BB45" s="2">
        <v>47423</v>
      </c>
      <c r="BC45" s="2">
        <v>47453</v>
      </c>
      <c r="BD45" s="2">
        <v>47484</v>
      </c>
      <c r="BE45" s="2">
        <v>47515</v>
      </c>
      <c r="BF45" s="2">
        <v>47543</v>
      </c>
      <c r="BG45" s="8" t="s">
        <v>91</v>
      </c>
      <c r="BI45" s="2">
        <v>47574</v>
      </c>
      <c r="BJ45" s="2">
        <v>47604</v>
      </c>
      <c r="BK45" s="2">
        <v>47635</v>
      </c>
      <c r="BL45" s="2">
        <v>47665</v>
      </c>
      <c r="BM45" s="2">
        <v>47696</v>
      </c>
      <c r="BN45" s="2">
        <v>47727</v>
      </c>
      <c r="BO45" s="2">
        <v>47757</v>
      </c>
      <c r="BP45" s="2">
        <v>47788</v>
      </c>
      <c r="BQ45" s="2">
        <v>47818</v>
      </c>
      <c r="BR45" s="2">
        <v>47849</v>
      </c>
      <c r="BS45" s="2">
        <v>47880</v>
      </c>
      <c r="BT45" s="2">
        <v>47908</v>
      </c>
      <c r="BU45" s="8" t="s">
        <v>91</v>
      </c>
    </row>
    <row r="46" spans="1:73" ht="16" x14ac:dyDescent="0.35">
      <c r="A46" s="5"/>
      <c r="B46" s="6" t="s">
        <v>106</v>
      </c>
      <c r="C46" s="6"/>
      <c r="D46" s="15"/>
      <c r="E46" s="1"/>
      <c r="F46" s="1"/>
      <c r="G46" s="1"/>
      <c r="H46" s="1"/>
      <c r="I46" s="1"/>
      <c r="J46" s="1"/>
      <c r="K46" s="1"/>
      <c r="L46" s="1"/>
      <c r="M46" s="1"/>
      <c r="N46" s="1"/>
      <c r="O46" s="1"/>
      <c r="P46" s="1"/>
      <c r="Q46" s="9">
        <f>SUM(E46:P46)</f>
        <v>0</v>
      </c>
      <c r="S46" s="1"/>
      <c r="T46" s="1"/>
      <c r="U46" s="1"/>
      <c r="V46" s="1"/>
      <c r="W46" s="1"/>
      <c r="X46" s="1"/>
      <c r="Y46" s="1"/>
      <c r="Z46" s="1"/>
      <c r="AA46" s="1"/>
      <c r="AB46" s="1"/>
      <c r="AC46" s="1"/>
      <c r="AD46" s="1"/>
      <c r="AE46" s="9">
        <f>SUM(S46:AD46)</f>
        <v>0</v>
      </c>
      <c r="AG46" s="1"/>
      <c r="AH46" s="1"/>
      <c r="AI46" s="1"/>
      <c r="AJ46" s="1"/>
      <c r="AK46" s="1"/>
      <c r="AL46" s="1"/>
      <c r="AM46" s="1"/>
      <c r="AN46" s="1"/>
      <c r="AO46" s="1"/>
      <c r="AP46" s="1"/>
      <c r="AQ46" s="1"/>
      <c r="AR46" s="1"/>
      <c r="AS46" s="9">
        <f>SUM(AG46:AR46)</f>
        <v>0</v>
      </c>
      <c r="AU46" s="1"/>
      <c r="AV46" s="1"/>
      <c r="AW46" s="1"/>
      <c r="AX46" s="1"/>
      <c r="AY46" s="1"/>
      <c r="AZ46" s="1"/>
      <c r="BA46" s="1"/>
      <c r="BB46" s="1"/>
      <c r="BC46" s="1"/>
      <c r="BD46" s="1"/>
      <c r="BE46" s="1"/>
      <c r="BF46" s="1"/>
      <c r="BG46" s="9">
        <f>SUM(AU46:BF46)</f>
        <v>0</v>
      </c>
      <c r="BI46" s="1"/>
      <c r="BJ46" s="1"/>
      <c r="BK46" s="1"/>
      <c r="BL46" s="1"/>
      <c r="BM46" s="1"/>
      <c r="BN46" s="1"/>
      <c r="BO46" s="1"/>
      <c r="BP46" s="1"/>
      <c r="BQ46" s="1"/>
      <c r="BR46" s="1"/>
      <c r="BS46" s="1"/>
      <c r="BT46" s="1"/>
      <c r="BU46" s="9">
        <f>SUM(BI46:BT46)</f>
        <v>0</v>
      </c>
    </row>
    <row r="47" spans="1:73" ht="16" x14ac:dyDescent="0.35">
      <c r="A47" s="5"/>
      <c r="B47" s="6"/>
      <c r="C47" s="6"/>
      <c r="D47" s="15"/>
      <c r="E47" s="1"/>
      <c r="F47" s="1"/>
      <c r="G47" s="1"/>
      <c r="H47" s="1"/>
      <c r="I47" s="1"/>
      <c r="J47" s="1"/>
      <c r="K47" s="1"/>
      <c r="L47" s="1"/>
      <c r="M47" s="1"/>
      <c r="N47" s="1"/>
      <c r="O47" s="1"/>
      <c r="P47" s="1"/>
      <c r="Q47" s="9">
        <f>SUM(E47:P47)</f>
        <v>0</v>
      </c>
      <c r="S47" s="1"/>
      <c r="T47" s="1"/>
      <c r="U47" s="1"/>
      <c r="V47" s="1"/>
      <c r="W47" s="1"/>
      <c r="X47" s="1"/>
      <c r="Y47" s="1"/>
      <c r="Z47" s="1"/>
      <c r="AA47" s="1"/>
      <c r="AB47" s="1"/>
      <c r="AC47" s="1"/>
      <c r="AD47" s="1"/>
      <c r="AE47" s="9">
        <f>SUM(S47:AD47)</f>
        <v>0</v>
      </c>
      <c r="AG47" s="1"/>
      <c r="AH47" s="1"/>
      <c r="AI47" s="1"/>
      <c r="AJ47" s="1"/>
      <c r="AK47" s="1"/>
      <c r="AL47" s="1"/>
      <c r="AM47" s="1"/>
      <c r="AN47" s="1"/>
      <c r="AO47" s="1"/>
      <c r="AP47" s="1"/>
      <c r="AQ47" s="1"/>
      <c r="AR47" s="1"/>
      <c r="AS47" s="9">
        <f>SUM(AG47:AR47)</f>
        <v>0</v>
      </c>
      <c r="AU47" s="1"/>
      <c r="AV47" s="1"/>
      <c r="AW47" s="1"/>
      <c r="AX47" s="1"/>
      <c r="AY47" s="1"/>
      <c r="AZ47" s="1"/>
      <c r="BA47" s="1"/>
      <c r="BB47" s="1"/>
      <c r="BC47" s="1"/>
      <c r="BD47" s="1"/>
      <c r="BE47" s="1"/>
      <c r="BF47" s="1"/>
      <c r="BG47" s="9">
        <f>SUM(AU47:BF47)</f>
        <v>0</v>
      </c>
      <c r="BI47" s="1"/>
      <c r="BJ47" s="1"/>
      <c r="BK47" s="1"/>
      <c r="BL47" s="1"/>
      <c r="BM47" s="1"/>
      <c r="BN47" s="1"/>
      <c r="BO47" s="1"/>
      <c r="BP47" s="1"/>
      <c r="BQ47" s="1"/>
      <c r="BR47" s="1"/>
      <c r="BS47" s="1"/>
      <c r="BT47" s="1"/>
      <c r="BU47" s="9">
        <f>SUM(BI47:BT47)</f>
        <v>0</v>
      </c>
    </row>
    <row r="48" spans="1:73" ht="16" x14ac:dyDescent="0.35">
      <c r="A48" s="5"/>
      <c r="B48" s="6"/>
      <c r="C48" s="6"/>
      <c r="D48" s="15"/>
      <c r="E48" s="1"/>
      <c r="F48" s="1"/>
      <c r="G48" s="1"/>
      <c r="H48" s="1"/>
      <c r="I48" s="1"/>
      <c r="J48" s="1"/>
      <c r="K48" s="1"/>
      <c r="L48" s="1"/>
      <c r="M48" s="1"/>
      <c r="N48" s="1"/>
      <c r="O48" s="1"/>
      <c r="P48" s="1"/>
      <c r="Q48" s="9">
        <f>SUM(E48:P48)</f>
        <v>0</v>
      </c>
      <c r="S48" s="1"/>
      <c r="T48" s="1"/>
      <c r="U48" s="1"/>
      <c r="V48" s="1"/>
      <c r="W48" s="1"/>
      <c r="X48" s="1"/>
      <c r="Y48" s="1"/>
      <c r="Z48" s="1"/>
      <c r="AA48" s="1"/>
      <c r="AB48" s="1"/>
      <c r="AC48" s="1"/>
      <c r="AD48" s="1"/>
      <c r="AE48" s="9">
        <f>SUM(S48:AD48)</f>
        <v>0</v>
      </c>
      <c r="AG48" s="1"/>
      <c r="AH48" s="1"/>
      <c r="AI48" s="1"/>
      <c r="AJ48" s="1"/>
      <c r="AK48" s="1"/>
      <c r="AL48" s="1"/>
      <c r="AM48" s="1"/>
      <c r="AN48" s="1"/>
      <c r="AO48" s="1"/>
      <c r="AP48" s="1"/>
      <c r="AQ48" s="1"/>
      <c r="AR48" s="1"/>
      <c r="AS48" s="9">
        <f>SUM(AG48:AR48)</f>
        <v>0</v>
      </c>
      <c r="AU48" s="1"/>
      <c r="AV48" s="1"/>
      <c r="AW48" s="1"/>
      <c r="AX48" s="1"/>
      <c r="AY48" s="1"/>
      <c r="AZ48" s="1"/>
      <c r="BA48" s="1"/>
      <c r="BB48" s="1"/>
      <c r="BC48" s="1"/>
      <c r="BD48" s="1"/>
      <c r="BE48" s="1"/>
      <c r="BF48" s="1"/>
      <c r="BG48" s="9">
        <f>SUM(AU48:BF48)</f>
        <v>0</v>
      </c>
      <c r="BI48" s="1"/>
      <c r="BJ48" s="1"/>
      <c r="BK48" s="1"/>
      <c r="BL48" s="1"/>
      <c r="BM48" s="1"/>
      <c r="BN48" s="1"/>
      <c r="BO48" s="1"/>
      <c r="BP48" s="1"/>
      <c r="BQ48" s="1"/>
      <c r="BR48" s="1"/>
      <c r="BS48" s="1"/>
      <c r="BT48" s="1"/>
      <c r="BU48" s="9">
        <f>SUM(BI48:BT48)</f>
        <v>0</v>
      </c>
    </row>
    <row r="49" spans="1:73" ht="16" x14ac:dyDescent="0.35">
      <c r="A49" s="5"/>
      <c r="B49" s="6"/>
      <c r="C49" s="6"/>
      <c r="D49" s="15"/>
      <c r="E49" s="1"/>
      <c r="F49" s="1"/>
      <c r="G49" s="1"/>
      <c r="H49" s="1"/>
      <c r="I49" s="1"/>
      <c r="J49" s="1"/>
      <c r="K49" s="1"/>
      <c r="L49" s="1"/>
      <c r="M49" s="1"/>
      <c r="N49" s="1"/>
      <c r="O49" s="1"/>
      <c r="P49" s="1"/>
      <c r="Q49" s="9">
        <f>SUM(E49:P49)</f>
        <v>0</v>
      </c>
      <c r="S49" s="1"/>
      <c r="T49" s="1"/>
      <c r="U49" s="1"/>
      <c r="V49" s="1"/>
      <c r="W49" s="1"/>
      <c r="X49" s="1"/>
      <c r="Y49" s="1"/>
      <c r="Z49" s="1"/>
      <c r="AA49" s="1"/>
      <c r="AB49" s="1"/>
      <c r="AC49" s="1"/>
      <c r="AD49" s="1"/>
      <c r="AE49" s="9">
        <f>SUM(S49:AD49)</f>
        <v>0</v>
      </c>
      <c r="AG49" s="1"/>
      <c r="AH49" s="1"/>
      <c r="AI49" s="1"/>
      <c r="AJ49" s="1"/>
      <c r="AK49" s="1"/>
      <c r="AL49" s="1"/>
      <c r="AM49" s="1"/>
      <c r="AN49" s="1"/>
      <c r="AO49" s="1"/>
      <c r="AP49" s="1"/>
      <c r="AQ49" s="1"/>
      <c r="AR49" s="1"/>
      <c r="AS49" s="9">
        <f>SUM(AG49:AR49)</f>
        <v>0</v>
      </c>
      <c r="AU49" s="1"/>
      <c r="AV49" s="1"/>
      <c r="AW49" s="1"/>
      <c r="AX49" s="1"/>
      <c r="AY49" s="1"/>
      <c r="AZ49" s="1"/>
      <c r="BA49" s="1"/>
      <c r="BB49" s="1"/>
      <c r="BC49" s="1"/>
      <c r="BD49" s="1"/>
      <c r="BE49" s="1"/>
      <c r="BF49" s="1"/>
      <c r="BG49" s="9">
        <f>SUM(AU49:BF49)</f>
        <v>0</v>
      </c>
      <c r="BI49" s="1"/>
      <c r="BJ49" s="1"/>
      <c r="BK49" s="1"/>
      <c r="BL49" s="1"/>
      <c r="BM49" s="1"/>
      <c r="BN49" s="1"/>
      <c r="BO49" s="1"/>
      <c r="BP49" s="1"/>
      <c r="BQ49" s="1"/>
      <c r="BR49" s="1"/>
      <c r="BS49" s="1"/>
      <c r="BT49" s="1"/>
      <c r="BU49" s="9">
        <f>SUM(BI49:BT49)</f>
        <v>0</v>
      </c>
    </row>
    <row r="50" spans="1:73" s="14" customFormat="1" ht="16" x14ac:dyDescent="0.35">
      <c r="A50" s="10" t="s">
        <v>107</v>
      </c>
      <c r="B50" s="11"/>
      <c r="C50" s="11"/>
      <c r="D50" s="16"/>
      <c r="E50" s="12">
        <f>SUM(E46:E49)</f>
        <v>0</v>
      </c>
      <c r="F50" s="12">
        <f t="shared" ref="F50:P50" si="0">SUM(F46:F49)</f>
        <v>0</v>
      </c>
      <c r="G50" s="12">
        <f t="shared" si="0"/>
        <v>0</v>
      </c>
      <c r="H50" s="12">
        <f t="shared" si="0"/>
        <v>0</v>
      </c>
      <c r="I50" s="12">
        <f t="shared" si="0"/>
        <v>0</v>
      </c>
      <c r="J50" s="12">
        <f t="shared" si="0"/>
        <v>0</v>
      </c>
      <c r="K50" s="12">
        <f t="shared" si="0"/>
        <v>0</v>
      </c>
      <c r="L50" s="12">
        <f t="shared" si="0"/>
        <v>0</v>
      </c>
      <c r="M50" s="12">
        <f t="shared" si="0"/>
        <v>0</v>
      </c>
      <c r="N50" s="12">
        <f t="shared" si="0"/>
        <v>0</v>
      </c>
      <c r="O50" s="12">
        <f t="shared" si="0"/>
        <v>0</v>
      </c>
      <c r="P50" s="12">
        <f t="shared" si="0"/>
        <v>0</v>
      </c>
      <c r="Q50" s="13">
        <f>SUM(E50:P50)</f>
        <v>0</v>
      </c>
      <c r="S50" s="12">
        <f>SUM(S46:S49)</f>
        <v>0</v>
      </c>
      <c r="T50" s="12">
        <f t="shared" ref="T50:AD50" si="1">SUM(T46:T49)</f>
        <v>0</v>
      </c>
      <c r="U50" s="12">
        <f t="shared" si="1"/>
        <v>0</v>
      </c>
      <c r="V50" s="12">
        <f t="shared" si="1"/>
        <v>0</v>
      </c>
      <c r="W50" s="12">
        <f t="shared" si="1"/>
        <v>0</v>
      </c>
      <c r="X50" s="12">
        <f t="shared" si="1"/>
        <v>0</v>
      </c>
      <c r="Y50" s="12">
        <f t="shared" si="1"/>
        <v>0</v>
      </c>
      <c r="Z50" s="12">
        <f t="shared" si="1"/>
        <v>0</v>
      </c>
      <c r="AA50" s="12">
        <f t="shared" si="1"/>
        <v>0</v>
      </c>
      <c r="AB50" s="12">
        <f t="shared" si="1"/>
        <v>0</v>
      </c>
      <c r="AC50" s="12">
        <f t="shared" si="1"/>
        <v>0</v>
      </c>
      <c r="AD50" s="12">
        <f t="shared" si="1"/>
        <v>0</v>
      </c>
      <c r="AE50" s="13">
        <f>SUM(S50:AD50)</f>
        <v>0</v>
      </c>
      <c r="AG50" s="12">
        <f>SUM(AG46:AG49)</f>
        <v>0</v>
      </c>
      <c r="AH50" s="12">
        <f t="shared" ref="AH50:AR50" si="2">SUM(AH46:AH49)</f>
        <v>0</v>
      </c>
      <c r="AI50" s="12">
        <f t="shared" si="2"/>
        <v>0</v>
      </c>
      <c r="AJ50" s="12">
        <f t="shared" si="2"/>
        <v>0</v>
      </c>
      <c r="AK50" s="12">
        <f t="shared" si="2"/>
        <v>0</v>
      </c>
      <c r="AL50" s="12">
        <f t="shared" si="2"/>
        <v>0</v>
      </c>
      <c r="AM50" s="12">
        <f t="shared" si="2"/>
        <v>0</v>
      </c>
      <c r="AN50" s="12">
        <f t="shared" si="2"/>
        <v>0</v>
      </c>
      <c r="AO50" s="12">
        <f t="shared" si="2"/>
        <v>0</v>
      </c>
      <c r="AP50" s="12">
        <f t="shared" si="2"/>
        <v>0</v>
      </c>
      <c r="AQ50" s="12">
        <f t="shared" si="2"/>
        <v>0</v>
      </c>
      <c r="AR50" s="12">
        <f t="shared" si="2"/>
        <v>0</v>
      </c>
      <c r="AS50" s="13">
        <f>SUM(AG50:AR50)</f>
        <v>0</v>
      </c>
      <c r="AU50" s="12">
        <f>SUM(AU46:AU49)</f>
        <v>0</v>
      </c>
      <c r="AV50" s="12">
        <f t="shared" ref="AV50:BF50" si="3">SUM(AV46:AV49)</f>
        <v>0</v>
      </c>
      <c r="AW50" s="12">
        <f t="shared" si="3"/>
        <v>0</v>
      </c>
      <c r="AX50" s="12">
        <f t="shared" si="3"/>
        <v>0</v>
      </c>
      <c r="AY50" s="12">
        <f t="shared" si="3"/>
        <v>0</v>
      </c>
      <c r="AZ50" s="12">
        <f t="shared" si="3"/>
        <v>0</v>
      </c>
      <c r="BA50" s="12">
        <f t="shared" si="3"/>
        <v>0</v>
      </c>
      <c r="BB50" s="12">
        <f t="shared" si="3"/>
        <v>0</v>
      </c>
      <c r="BC50" s="12">
        <f t="shared" si="3"/>
        <v>0</v>
      </c>
      <c r="BD50" s="12">
        <f t="shared" si="3"/>
        <v>0</v>
      </c>
      <c r="BE50" s="12">
        <f t="shared" si="3"/>
        <v>0</v>
      </c>
      <c r="BF50" s="12">
        <f t="shared" si="3"/>
        <v>0</v>
      </c>
      <c r="BG50" s="13">
        <f>SUM(AU50:BF50)</f>
        <v>0</v>
      </c>
      <c r="BI50" s="12">
        <f>SUM(BI46:BI49)</f>
        <v>0</v>
      </c>
      <c r="BJ50" s="12">
        <f t="shared" ref="BJ50:BT50" si="4">SUM(BJ46:BJ49)</f>
        <v>0</v>
      </c>
      <c r="BK50" s="12">
        <f t="shared" si="4"/>
        <v>0</v>
      </c>
      <c r="BL50" s="12">
        <f t="shared" si="4"/>
        <v>0</v>
      </c>
      <c r="BM50" s="12">
        <f t="shared" si="4"/>
        <v>0</v>
      </c>
      <c r="BN50" s="12">
        <f t="shared" si="4"/>
        <v>0</v>
      </c>
      <c r="BO50" s="12">
        <f t="shared" si="4"/>
        <v>0</v>
      </c>
      <c r="BP50" s="12">
        <f t="shared" si="4"/>
        <v>0</v>
      </c>
      <c r="BQ50" s="12">
        <f t="shared" si="4"/>
        <v>0</v>
      </c>
      <c r="BR50" s="12">
        <f t="shared" si="4"/>
        <v>0</v>
      </c>
      <c r="BS50" s="12">
        <f t="shared" si="4"/>
        <v>0</v>
      </c>
      <c r="BT50" s="12">
        <f t="shared" si="4"/>
        <v>0</v>
      </c>
      <c r="BU50" s="13">
        <f>SUM(BI50:BT50)</f>
        <v>0</v>
      </c>
    </row>
    <row r="52" spans="1:73" ht="58.5" customHeight="1" x14ac:dyDescent="0.35">
      <c r="A52" s="3" t="s">
        <v>108</v>
      </c>
      <c r="B52" s="4" t="s">
        <v>109</v>
      </c>
      <c r="C52" s="4" t="s">
        <v>110</v>
      </c>
      <c r="D52" s="4"/>
      <c r="E52" s="2">
        <v>46113</v>
      </c>
      <c r="F52" s="2">
        <v>46143</v>
      </c>
      <c r="G52" s="2">
        <v>46174</v>
      </c>
      <c r="H52" s="2">
        <v>46204</v>
      </c>
      <c r="I52" s="2">
        <v>46235</v>
      </c>
      <c r="J52" s="2">
        <v>46266</v>
      </c>
      <c r="K52" s="2">
        <v>46296</v>
      </c>
      <c r="L52" s="2">
        <v>46327</v>
      </c>
      <c r="M52" s="2">
        <v>46357</v>
      </c>
      <c r="N52" s="2">
        <v>46388</v>
      </c>
      <c r="O52" s="2">
        <v>46419</v>
      </c>
      <c r="P52" s="2">
        <v>46447</v>
      </c>
      <c r="Q52" s="8" t="s">
        <v>91</v>
      </c>
      <c r="S52" s="2">
        <v>46478</v>
      </c>
      <c r="T52" s="2">
        <v>46508</v>
      </c>
      <c r="U52" s="2">
        <v>46539</v>
      </c>
      <c r="V52" s="2">
        <v>46569</v>
      </c>
      <c r="W52" s="2">
        <v>46600</v>
      </c>
      <c r="X52" s="2">
        <v>46631</v>
      </c>
      <c r="Y52" s="2">
        <v>46661</v>
      </c>
      <c r="Z52" s="2">
        <v>46692</v>
      </c>
      <c r="AA52" s="2">
        <v>46722</v>
      </c>
      <c r="AB52" s="2">
        <v>46753</v>
      </c>
      <c r="AC52" s="2">
        <v>46784</v>
      </c>
      <c r="AD52" s="2">
        <v>46813</v>
      </c>
      <c r="AE52" s="8" t="s">
        <v>91</v>
      </c>
      <c r="AG52" s="2">
        <v>46844</v>
      </c>
      <c r="AH52" s="2">
        <v>46874</v>
      </c>
      <c r="AI52" s="2">
        <v>46905</v>
      </c>
      <c r="AJ52" s="2">
        <v>46935</v>
      </c>
      <c r="AK52" s="2">
        <v>46966</v>
      </c>
      <c r="AL52" s="2">
        <v>46997</v>
      </c>
      <c r="AM52" s="2">
        <v>47027</v>
      </c>
      <c r="AN52" s="2">
        <v>47058</v>
      </c>
      <c r="AO52" s="2">
        <v>47088</v>
      </c>
      <c r="AP52" s="2">
        <v>47119</v>
      </c>
      <c r="AQ52" s="2">
        <v>47150</v>
      </c>
      <c r="AR52" s="2">
        <v>47178</v>
      </c>
      <c r="AS52" s="8" t="s">
        <v>91</v>
      </c>
      <c r="AU52" s="2">
        <v>47209</v>
      </c>
      <c r="AV52" s="2">
        <v>47239</v>
      </c>
      <c r="AW52" s="2">
        <v>47270</v>
      </c>
      <c r="AX52" s="2">
        <v>47300</v>
      </c>
      <c r="AY52" s="2">
        <v>47331</v>
      </c>
      <c r="AZ52" s="2">
        <v>47362</v>
      </c>
      <c r="BA52" s="2">
        <v>47392</v>
      </c>
      <c r="BB52" s="2">
        <v>47423</v>
      </c>
      <c r="BC52" s="2">
        <v>47453</v>
      </c>
      <c r="BD52" s="2">
        <v>47484</v>
      </c>
      <c r="BE52" s="2">
        <v>47515</v>
      </c>
      <c r="BF52" s="2">
        <v>47543</v>
      </c>
      <c r="BG52" s="8" t="s">
        <v>91</v>
      </c>
      <c r="BI52" s="2">
        <v>47574</v>
      </c>
      <c r="BJ52" s="2">
        <v>47604</v>
      </c>
      <c r="BK52" s="2">
        <v>47635</v>
      </c>
      <c r="BL52" s="2">
        <v>47665</v>
      </c>
      <c r="BM52" s="2">
        <v>47696</v>
      </c>
      <c r="BN52" s="2">
        <v>47727</v>
      </c>
      <c r="BO52" s="2">
        <v>47757</v>
      </c>
      <c r="BP52" s="2">
        <v>47788</v>
      </c>
      <c r="BQ52" s="2">
        <v>47818</v>
      </c>
      <c r="BR52" s="2">
        <v>47849</v>
      </c>
      <c r="BS52" s="2">
        <v>47880</v>
      </c>
      <c r="BT52" s="2">
        <v>47908</v>
      </c>
      <c r="BU52" s="8" t="s">
        <v>91</v>
      </c>
    </row>
    <row r="53" spans="1:73" ht="16" x14ac:dyDescent="0.35">
      <c r="A53" s="5"/>
      <c r="B53" s="6" t="s">
        <v>111</v>
      </c>
      <c r="C53" s="6"/>
      <c r="D53" s="15"/>
      <c r="E53" s="1"/>
      <c r="F53" s="1"/>
      <c r="G53" s="1"/>
      <c r="H53" s="1"/>
      <c r="I53" s="1"/>
      <c r="J53" s="1"/>
      <c r="K53" s="1"/>
      <c r="L53" s="1"/>
      <c r="M53" s="1"/>
      <c r="N53" s="1"/>
      <c r="O53" s="1"/>
      <c r="P53" s="1"/>
      <c r="Q53" s="9">
        <f>SUM(E53:P53)</f>
        <v>0</v>
      </c>
      <c r="S53" s="1"/>
      <c r="T53" s="1"/>
      <c r="U53" s="1"/>
      <c r="V53" s="1"/>
      <c r="W53" s="1"/>
      <c r="X53" s="1"/>
      <c r="Y53" s="1"/>
      <c r="Z53" s="1"/>
      <c r="AA53" s="1"/>
      <c r="AB53" s="1"/>
      <c r="AC53" s="1"/>
      <c r="AD53" s="1"/>
      <c r="AE53" s="9">
        <f>SUM(S53:AD53)</f>
        <v>0</v>
      </c>
      <c r="AG53" s="1"/>
      <c r="AH53" s="1"/>
      <c r="AI53" s="1"/>
      <c r="AJ53" s="1"/>
      <c r="AK53" s="1"/>
      <c r="AL53" s="1"/>
      <c r="AM53" s="1"/>
      <c r="AN53" s="1"/>
      <c r="AO53" s="1"/>
      <c r="AP53" s="1"/>
      <c r="AQ53" s="1"/>
      <c r="AR53" s="1"/>
      <c r="AS53" s="9">
        <f>SUM(AG53:AR53)</f>
        <v>0</v>
      </c>
      <c r="AU53" s="1"/>
      <c r="AV53" s="1"/>
      <c r="AW53" s="1"/>
      <c r="AX53" s="1"/>
      <c r="AY53" s="1"/>
      <c r="AZ53" s="1"/>
      <c r="BA53" s="1"/>
      <c r="BB53" s="1"/>
      <c r="BC53" s="1"/>
      <c r="BD53" s="1"/>
      <c r="BE53" s="1"/>
      <c r="BF53" s="1"/>
      <c r="BG53" s="9">
        <f>SUM(AU53:BF53)</f>
        <v>0</v>
      </c>
      <c r="BI53" s="1"/>
      <c r="BJ53" s="1"/>
      <c r="BK53" s="1"/>
      <c r="BL53" s="1"/>
      <c r="BM53" s="1"/>
      <c r="BN53" s="1"/>
      <c r="BO53" s="1"/>
      <c r="BP53" s="1"/>
      <c r="BQ53" s="1"/>
      <c r="BR53" s="1"/>
      <c r="BS53" s="1"/>
      <c r="BT53" s="1"/>
      <c r="BU53" s="9">
        <f>SUM(BI53:BT53)</f>
        <v>0</v>
      </c>
    </row>
    <row r="54" spans="1:73" ht="16" x14ac:dyDescent="0.35">
      <c r="A54" s="5"/>
      <c r="B54" s="6"/>
      <c r="C54" s="6"/>
      <c r="D54" s="15"/>
      <c r="E54" s="1"/>
      <c r="F54" s="1"/>
      <c r="G54" s="1"/>
      <c r="H54" s="1"/>
      <c r="I54" s="1"/>
      <c r="J54" s="1"/>
      <c r="K54" s="1"/>
      <c r="L54" s="1"/>
      <c r="M54" s="1"/>
      <c r="N54" s="1"/>
      <c r="O54" s="1"/>
      <c r="P54" s="1"/>
      <c r="Q54" s="9">
        <f>SUM(E54:P54)</f>
        <v>0</v>
      </c>
      <c r="S54" s="1"/>
      <c r="T54" s="1"/>
      <c r="U54" s="1"/>
      <c r="V54" s="1"/>
      <c r="W54" s="1"/>
      <c r="X54" s="1"/>
      <c r="Y54" s="1"/>
      <c r="Z54" s="1"/>
      <c r="AA54" s="1"/>
      <c r="AB54" s="1"/>
      <c r="AC54" s="1"/>
      <c r="AD54" s="1"/>
      <c r="AE54" s="9">
        <f>SUM(S54:AD54)</f>
        <v>0</v>
      </c>
      <c r="AG54" s="1"/>
      <c r="AH54" s="1"/>
      <c r="AI54" s="1"/>
      <c r="AJ54" s="1"/>
      <c r="AK54" s="1"/>
      <c r="AL54" s="1"/>
      <c r="AM54" s="1"/>
      <c r="AN54" s="1"/>
      <c r="AO54" s="1"/>
      <c r="AP54" s="1"/>
      <c r="AQ54" s="1"/>
      <c r="AR54" s="1"/>
      <c r="AS54" s="9">
        <f>SUM(AG54:AR54)</f>
        <v>0</v>
      </c>
      <c r="AU54" s="1"/>
      <c r="AV54" s="1"/>
      <c r="AW54" s="1"/>
      <c r="AX54" s="1"/>
      <c r="AY54" s="1"/>
      <c r="AZ54" s="1"/>
      <c r="BA54" s="1"/>
      <c r="BB54" s="1"/>
      <c r="BC54" s="1"/>
      <c r="BD54" s="1"/>
      <c r="BE54" s="1"/>
      <c r="BF54" s="1"/>
      <c r="BG54" s="9">
        <f>SUM(AU54:BF54)</f>
        <v>0</v>
      </c>
      <c r="BI54" s="1"/>
      <c r="BJ54" s="1"/>
      <c r="BK54" s="1"/>
      <c r="BL54" s="1"/>
      <c r="BM54" s="1"/>
      <c r="BN54" s="1"/>
      <c r="BO54" s="1"/>
      <c r="BP54" s="1"/>
      <c r="BQ54" s="1"/>
      <c r="BR54" s="1"/>
      <c r="BS54" s="1"/>
      <c r="BT54" s="1"/>
      <c r="BU54" s="9">
        <f>SUM(BI54:BT54)</f>
        <v>0</v>
      </c>
    </row>
    <row r="55" spans="1:73" ht="16" x14ac:dyDescent="0.35">
      <c r="A55" s="5"/>
      <c r="B55" s="6"/>
      <c r="C55" s="6"/>
      <c r="D55" s="15"/>
      <c r="E55" s="1"/>
      <c r="F55" s="1"/>
      <c r="G55" s="1"/>
      <c r="H55" s="1"/>
      <c r="I55" s="1"/>
      <c r="J55" s="1"/>
      <c r="K55" s="1"/>
      <c r="L55" s="1"/>
      <c r="M55" s="1"/>
      <c r="N55" s="1"/>
      <c r="O55" s="1"/>
      <c r="P55" s="1"/>
      <c r="Q55" s="9">
        <f>SUM(E55:P55)</f>
        <v>0</v>
      </c>
      <c r="S55" s="1"/>
      <c r="T55" s="1"/>
      <c r="U55" s="1"/>
      <c r="V55" s="1"/>
      <c r="W55" s="1"/>
      <c r="X55" s="1"/>
      <c r="Y55" s="1"/>
      <c r="Z55" s="1"/>
      <c r="AA55" s="1"/>
      <c r="AB55" s="1"/>
      <c r="AC55" s="1"/>
      <c r="AD55" s="1"/>
      <c r="AE55" s="9">
        <f>SUM(S55:AD55)</f>
        <v>0</v>
      </c>
      <c r="AG55" s="1"/>
      <c r="AH55" s="1"/>
      <c r="AI55" s="1"/>
      <c r="AJ55" s="1"/>
      <c r="AK55" s="1"/>
      <c r="AL55" s="1"/>
      <c r="AM55" s="1"/>
      <c r="AN55" s="1"/>
      <c r="AO55" s="1"/>
      <c r="AP55" s="1"/>
      <c r="AQ55" s="1"/>
      <c r="AR55" s="1"/>
      <c r="AS55" s="9">
        <f>SUM(AG55:AR55)</f>
        <v>0</v>
      </c>
      <c r="AU55" s="1"/>
      <c r="AV55" s="1"/>
      <c r="AW55" s="1"/>
      <c r="AX55" s="1"/>
      <c r="AY55" s="1"/>
      <c r="AZ55" s="1"/>
      <c r="BA55" s="1"/>
      <c r="BB55" s="1"/>
      <c r="BC55" s="1"/>
      <c r="BD55" s="1"/>
      <c r="BE55" s="1"/>
      <c r="BF55" s="1"/>
      <c r="BG55" s="9">
        <f>SUM(AU55:BF55)</f>
        <v>0</v>
      </c>
      <c r="BI55" s="1"/>
      <c r="BJ55" s="1"/>
      <c r="BK55" s="1"/>
      <c r="BL55" s="1"/>
      <c r="BM55" s="1"/>
      <c r="BN55" s="1"/>
      <c r="BO55" s="1"/>
      <c r="BP55" s="1"/>
      <c r="BQ55" s="1"/>
      <c r="BR55" s="1"/>
      <c r="BS55" s="1"/>
      <c r="BT55" s="1"/>
      <c r="BU55" s="9">
        <f>SUM(BI55:BT55)</f>
        <v>0</v>
      </c>
    </row>
    <row r="56" spans="1:73" ht="16" x14ac:dyDescent="0.35">
      <c r="A56" s="5"/>
      <c r="B56" s="6"/>
      <c r="C56" s="6"/>
      <c r="D56" s="15"/>
      <c r="E56" s="1"/>
      <c r="F56" s="1"/>
      <c r="G56" s="1"/>
      <c r="H56" s="1"/>
      <c r="I56" s="1"/>
      <c r="J56" s="1"/>
      <c r="K56" s="1"/>
      <c r="L56" s="1"/>
      <c r="M56" s="1"/>
      <c r="N56" s="1"/>
      <c r="O56" s="1"/>
      <c r="P56" s="1"/>
      <c r="Q56" s="9">
        <f>SUM(E56:P56)</f>
        <v>0</v>
      </c>
      <c r="S56" s="1"/>
      <c r="T56" s="1"/>
      <c r="U56" s="1"/>
      <c r="V56" s="1"/>
      <c r="W56" s="1"/>
      <c r="X56" s="1"/>
      <c r="Y56" s="1"/>
      <c r="Z56" s="1"/>
      <c r="AA56" s="1"/>
      <c r="AB56" s="1"/>
      <c r="AC56" s="1"/>
      <c r="AD56" s="1"/>
      <c r="AE56" s="9">
        <f>SUM(S56:AD56)</f>
        <v>0</v>
      </c>
      <c r="AG56" s="1"/>
      <c r="AH56" s="1"/>
      <c r="AI56" s="1"/>
      <c r="AJ56" s="1"/>
      <c r="AK56" s="1"/>
      <c r="AL56" s="1"/>
      <c r="AM56" s="1"/>
      <c r="AN56" s="1"/>
      <c r="AO56" s="1"/>
      <c r="AP56" s="1"/>
      <c r="AQ56" s="1"/>
      <c r="AR56" s="1"/>
      <c r="AS56" s="9">
        <f>SUM(AG56:AR56)</f>
        <v>0</v>
      </c>
      <c r="AU56" s="1"/>
      <c r="AV56" s="1"/>
      <c r="AW56" s="1"/>
      <c r="AX56" s="1"/>
      <c r="AY56" s="1"/>
      <c r="AZ56" s="1"/>
      <c r="BA56" s="1"/>
      <c r="BB56" s="1"/>
      <c r="BC56" s="1"/>
      <c r="BD56" s="1"/>
      <c r="BE56" s="1"/>
      <c r="BF56" s="1"/>
      <c r="BG56" s="9">
        <f>SUM(AU56:BF56)</f>
        <v>0</v>
      </c>
      <c r="BI56" s="1"/>
      <c r="BJ56" s="1"/>
      <c r="BK56" s="1"/>
      <c r="BL56" s="1"/>
      <c r="BM56" s="1"/>
      <c r="BN56" s="1"/>
      <c r="BO56" s="1"/>
      <c r="BP56" s="1"/>
      <c r="BQ56" s="1"/>
      <c r="BR56" s="1"/>
      <c r="BS56" s="1"/>
      <c r="BT56" s="1"/>
      <c r="BU56" s="9">
        <f>SUM(BI56:BT56)</f>
        <v>0</v>
      </c>
    </row>
    <row r="57" spans="1:73" s="14" customFormat="1" ht="16" x14ac:dyDescent="0.35">
      <c r="A57" s="10" t="s">
        <v>107</v>
      </c>
      <c r="B57" s="11"/>
      <c r="C57" s="11"/>
      <c r="D57" s="16"/>
      <c r="E57" s="12">
        <f>SUM(E53:E56)</f>
        <v>0</v>
      </c>
      <c r="F57" s="12">
        <f t="shared" ref="F57:P57" si="5">SUM(F53:F56)</f>
        <v>0</v>
      </c>
      <c r="G57" s="12">
        <f t="shared" si="5"/>
        <v>0</v>
      </c>
      <c r="H57" s="12">
        <f t="shared" si="5"/>
        <v>0</v>
      </c>
      <c r="I57" s="12">
        <f t="shared" si="5"/>
        <v>0</v>
      </c>
      <c r="J57" s="12">
        <f t="shared" si="5"/>
        <v>0</v>
      </c>
      <c r="K57" s="12">
        <f t="shared" si="5"/>
        <v>0</v>
      </c>
      <c r="L57" s="12">
        <f t="shared" si="5"/>
        <v>0</v>
      </c>
      <c r="M57" s="12">
        <f t="shared" si="5"/>
        <v>0</v>
      </c>
      <c r="N57" s="12">
        <f t="shared" si="5"/>
        <v>0</v>
      </c>
      <c r="O57" s="12">
        <f t="shared" si="5"/>
        <v>0</v>
      </c>
      <c r="P57" s="12">
        <f t="shared" si="5"/>
        <v>0</v>
      </c>
      <c r="Q57" s="13">
        <f>SUM(E57:P57)</f>
        <v>0</v>
      </c>
      <c r="S57" s="12">
        <f>SUM(S53:S56)</f>
        <v>0</v>
      </c>
      <c r="T57" s="12">
        <f t="shared" ref="T57:AD57" si="6">SUM(T53:T56)</f>
        <v>0</v>
      </c>
      <c r="U57" s="12">
        <f t="shared" si="6"/>
        <v>0</v>
      </c>
      <c r="V57" s="12">
        <f t="shared" si="6"/>
        <v>0</v>
      </c>
      <c r="W57" s="12">
        <f t="shared" si="6"/>
        <v>0</v>
      </c>
      <c r="X57" s="12">
        <f t="shared" si="6"/>
        <v>0</v>
      </c>
      <c r="Y57" s="12">
        <f t="shared" si="6"/>
        <v>0</v>
      </c>
      <c r="Z57" s="12">
        <f t="shared" si="6"/>
        <v>0</v>
      </c>
      <c r="AA57" s="12">
        <f t="shared" si="6"/>
        <v>0</v>
      </c>
      <c r="AB57" s="12">
        <f t="shared" si="6"/>
        <v>0</v>
      </c>
      <c r="AC57" s="12">
        <f t="shared" si="6"/>
        <v>0</v>
      </c>
      <c r="AD57" s="12">
        <f t="shared" si="6"/>
        <v>0</v>
      </c>
      <c r="AE57" s="13">
        <f>SUM(S57:AD57)</f>
        <v>0</v>
      </c>
      <c r="AG57" s="12">
        <f>SUM(AG53:AG56)</f>
        <v>0</v>
      </c>
      <c r="AH57" s="12">
        <f t="shared" ref="AH57:AR57" si="7">SUM(AH53:AH56)</f>
        <v>0</v>
      </c>
      <c r="AI57" s="12">
        <f t="shared" si="7"/>
        <v>0</v>
      </c>
      <c r="AJ57" s="12">
        <f t="shared" si="7"/>
        <v>0</v>
      </c>
      <c r="AK57" s="12">
        <f t="shared" si="7"/>
        <v>0</v>
      </c>
      <c r="AL57" s="12">
        <f t="shared" si="7"/>
        <v>0</v>
      </c>
      <c r="AM57" s="12">
        <f t="shared" si="7"/>
        <v>0</v>
      </c>
      <c r="AN57" s="12">
        <f t="shared" si="7"/>
        <v>0</v>
      </c>
      <c r="AO57" s="12">
        <f t="shared" si="7"/>
        <v>0</v>
      </c>
      <c r="AP57" s="12">
        <f t="shared" si="7"/>
        <v>0</v>
      </c>
      <c r="AQ57" s="12">
        <f t="shared" si="7"/>
        <v>0</v>
      </c>
      <c r="AR57" s="12">
        <f t="shared" si="7"/>
        <v>0</v>
      </c>
      <c r="AS57" s="13">
        <f>SUM(AG57:AR57)</f>
        <v>0</v>
      </c>
      <c r="AU57" s="12">
        <f>SUM(AU53:AU56)</f>
        <v>0</v>
      </c>
      <c r="AV57" s="12">
        <f t="shared" ref="AV57:BF57" si="8">SUM(AV53:AV56)</f>
        <v>0</v>
      </c>
      <c r="AW57" s="12">
        <f t="shared" si="8"/>
        <v>0</v>
      </c>
      <c r="AX57" s="12">
        <f t="shared" si="8"/>
        <v>0</v>
      </c>
      <c r="AY57" s="12">
        <f t="shared" si="8"/>
        <v>0</v>
      </c>
      <c r="AZ57" s="12">
        <f t="shared" si="8"/>
        <v>0</v>
      </c>
      <c r="BA57" s="12">
        <f t="shared" si="8"/>
        <v>0</v>
      </c>
      <c r="BB57" s="12">
        <f t="shared" si="8"/>
        <v>0</v>
      </c>
      <c r="BC57" s="12">
        <f t="shared" si="8"/>
        <v>0</v>
      </c>
      <c r="BD57" s="12">
        <f t="shared" si="8"/>
        <v>0</v>
      </c>
      <c r="BE57" s="12">
        <f t="shared" si="8"/>
        <v>0</v>
      </c>
      <c r="BF57" s="12">
        <f t="shared" si="8"/>
        <v>0</v>
      </c>
      <c r="BG57" s="13">
        <f>SUM(AU57:BF57)</f>
        <v>0</v>
      </c>
      <c r="BI57" s="12">
        <f>SUM(BI53:BI56)</f>
        <v>0</v>
      </c>
      <c r="BJ57" s="12">
        <f t="shared" ref="BJ57:BT57" si="9">SUM(BJ53:BJ56)</f>
        <v>0</v>
      </c>
      <c r="BK57" s="12">
        <f t="shared" si="9"/>
        <v>0</v>
      </c>
      <c r="BL57" s="12">
        <f t="shared" si="9"/>
        <v>0</v>
      </c>
      <c r="BM57" s="12">
        <f t="shared" si="9"/>
        <v>0</v>
      </c>
      <c r="BN57" s="12">
        <f t="shared" si="9"/>
        <v>0</v>
      </c>
      <c r="BO57" s="12">
        <f t="shared" si="9"/>
        <v>0</v>
      </c>
      <c r="BP57" s="12">
        <f t="shared" si="9"/>
        <v>0</v>
      </c>
      <c r="BQ57" s="12">
        <f t="shared" si="9"/>
        <v>0</v>
      </c>
      <c r="BR57" s="12">
        <f t="shared" si="9"/>
        <v>0</v>
      </c>
      <c r="BS57" s="12">
        <f t="shared" si="9"/>
        <v>0</v>
      </c>
      <c r="BT57" s="12">
        <f t="shared" si="9"/>
        <v>0</v>
      </c>
      <c r="BU57" s="13">
        <f>SUM(BI57:BT57)</f>
        <v>0</v>
      </c>
    </row>
    <row r="60" spans="1:73" ht="58.5" customHeight="1" x14ac:dyDescent="0.35">
      <c r="A60" s="3" t="s">
        <v>112</v>
      </c>
      <c r="B60" s="4" t="s">
        <v>113</v>
      </c>
      <c r="C60" s="4"/>
      <c r="D60" s="4"/>
      <c r="E60" s="2">
        <v>46113</v>
      </c>
      <c r="F60" s="2">
        <v>46143</v>
      </c>
      <c r="G60" s="2">
        <v>46174</v>
      </c>
      <c r="H60" s="2">
        <v>46204</v>
      </c>
      <c r="I60" s="2">
        <v>46235</v>
      </c>
      <c r="J60" s="2">
        <v>46266</v>
      </c>
      <c r="K60" s="2">
        <v>46296</v>
      </c>
      <c r="L60" s="2">
        <v>46327</v>
      </c>
      <c r="M60" s="2">
        <v>46357</v>
      </c>
      <c r="N60" s="2">
        <v>46388</v>
      </c>
      <c r="O60" s="2">
        <v>46419</v>
      </c>
      <c r="P60" s="2">
        <v>46447</v>
      </c>
      <c r="Q60" s="8" t="s">
        <v>91</v>
      </c>
      <c r="S60" s="2">
        <v>46478</v>
      </c>
      <c r="T60" s="2">
        <v>46508</v>
      </c>
      <c r="U60" s="2">
        <v>46539</v>
      </c>
      <c r="V60" s="2">
        <v>46569</v>
      </c>
      <c r="W60" s="2">
        <v>46600</v>
      </c>
      <c r="X60" s="2">
        <v>46631</v>
      </c>
      <c r="Y60" s="2">
        <v>46661</v>
      </c>
      <c r="Z60" s="2">
        <v>46692</v>
      </c>
      <c r="AA60" s="2">
        <v>46722</v>
      </c>
      <c r="AB60" s="2">
        <v>46753</v>
      </c>
      <c r="AC60" s="2">
        <v>46784</v>
      </c>
      <c r="AD60" s="2">
        <v>46813</v>
      </c>
      <c r="AE60" s="8" t="s">
        <v>91</v>
      </c>
      <c r="AG60" s="2">
        <v>46844</v>
      </c>
      <c r="AH60" s="2">
        <v>46874</v>
      </c>
      <c r="AI60" s="2">
        <v>46905</v>
      </c>
      <c r="AJ60" s="2">
        <v>46935</v>
      </c>
      <c r="AK60" s="2">
        <v>46966</v>
      </c>
      <c r="AL60" s="2">
        <v>46997</v>
      </c>
      <c r="AM60" s="2">
        <v>47027</v>
      </c>
      <c r="AN60" s="2">
        <v>47058</v>
      </c>
      <c r="AO60" s="2">
        <v>47088</v>
      </c>
      <c r="AP60" s="2">
        <v>47119</v>
      </c>
      <c r="AQ60" s="2">
        <v>47150</v>
      </c>
      <c r="AR60" s="2">
        <v>47178</v>
      </c>
      <c r="AS60" s="8" t="s">
        <v>91</v>
      </c>
      <c r="AU60" s="2">
        <v>47209</v>
      </c>
      <c r="AV60" s="2">
        <v>47239</v>
      </c>
      <c r="AW60" s="2">
        <v>47270</v>
      </c>
      <c r="AX60" s="2">
        <v>47300</v>
      </c>
      <c r="AY60" s="2">
        <v>47331</v>
      </c>
      <c r="AZ60" s="2">
        <v>47362</v>
      </c>
      <c r="BA60" s="2">
        <v>47392</v>
      </c>
      <c r="BB60" s="2">
        <v>47423</v>
      </c>
      <c r="BC60" s="2">
        <v>47453</v>
      </c>
      <c r="BD60" s="2">
        <v>47484</v>
      </c>
      <c r="BE60" s="2">
        <v>47515</v>
      </c>
      <c r="BF60" s="2">
        <v>47543</v>
      </c>
      <c r="BG60" s="8" t="s">
        <v>91</v>
      </c>
      <c r="BI60" s="2">
        <v>47574</v>
      </c>
      <c r="BJ60" s="2">
        <v>47604</v>
      </c>
      <c r="BK60" s="2">
        <v>47635</v>
      </c>
      <c r="BL60" s="2">
        <v>47665</v>
      </c>
      <c r="BM60" s="2">
        <v>47696</v>
      </c>
      <c r="BN60" s="2">
        <v>47727</v>
      </c>
      <c r="BO60" s="2">
        <v>47757</v>
      </c>
      <c r="BP60" s="2">
        <v>47788</v>
      </c>
      <c r="BQ60" s="2">
        <v>47818</v>
      </c>
      <c r="BR60" s="2">
        <v>47849</v>
      </c>
      <c r="BS60" s="2">
        <v>47880</v>
      </c>
      <c r="BT60" s="2">
        <v>47908</v>
      </c>
      <c r="BU60" s="8" t="s">
        <v>91</v>
      </c>
    </row>
    <row r="61" spans="1:73" s="14" customFormat="1" ht="16" x14ac:dyDescent="0.35">
      <c r="A61" s="10" t="s">
        <v>107</v>
      </c>
      <c r="B61" s="11"/>
      <c r="C61" s="11"/>
      <c r="D61" s="15"/>
      <c r="E61" s="12">
        <f>SUM(E57-E50)</f>
        <v>0</v>
      </c>
      <c r="F61" s="12">
        <f t="shared" ref="F61:P61" si="10">SUM(F57-F50)</f>
        <v>0</v>
      </c>
      <c r="G61" s="12">
        <f t="shared" si="10"/>
        <v>0</v>
      </c>
      <c r="H61" s="12">
        <f t="shared" si="10"/>
        <v>0</v>
      </c>
      <c r="I61" s="12">
        <f t="shared" si="10"/>
        <v>0</v>
      </c>
      <c r="J61" s="12">
        <f t="shared" si="10"/>
        <v>0</v>
      </c>
      <c r="K61" s="12">
        <f t="shared" si="10"/>
        <v>0</v>
      </c>
      <c r="L61" s="12">
        <f t="shared" si="10"/>
        <v>0</v>
      </c>
      <c r="M61" s="12">
        <f t="shared" si="10"/>
        <v>0</v>
      </c>
      <c r="N61" s="12">
        <f t="shared" si="10"/>
        <v>0</v>
      </c>
      <c r="O61" s="12">
        <f t="shared" si="10"/>
        <v>0</v>
      </c>
      <c r="P61" s="12">
        <f t="shared" si="10"/>
        <v>0</v>
      </c>
      <c r="Q61" s="13">
        <f>SUM(E61:P61)</f>
        <v>0</v>
      </c>
      <c r="S61" s="12">
        <f t="shared" ref="S61:AD61" si="11">SUM(S57-S50)</f>
        <v>0</v>
      </c>
      <c r="T61" s="12">
        <f t="shared" si="11"/>
        <v>0</v>
      </c>
      <c r="U61" s="12">
        <f t="shared" si="11"/>
        <v>0</v>
      </c>
      <c r="V61" s="12">
        <f t="shared" si="11"/>
        <v>0</v>
      </c>
      <c r="W61" s="12">
        <f t="shared" si="11"/>
        <v>0</v>
      </c>
      <c r="X61" s="12">
        <f t="shared" si="11"/>
        <v>0</v>
      </c>
      <c r="Y61" s="12">
        <f t="shared" si="11"/>
        <v>0</v>
      </c>
      <c r="Z61" s="12">
        <f t="shared" si="11"/>
        <v>0</v>
      </c>
      <c r="AA61" s="12">
        <f t="shared" si="11"/>
        <v>0</v>
      </c>
      <c r="AB61" s="12">
        <f t="shared" si="11"/>
        <v>0</v>
      </c>
      <c r="AC61" s="12">
        <f t="shared" si="11"/>
        <v>0</v>
      </c>
      <c r="AD61" s="12">
        <f t="shared" si="11"/>
        <v>0</v>
      </c>
      <c r="AE61" s="13">
        <f>SUM(S61:AD61)</f>
        <v>0</v>
      </c>
      <c r="AG61" s="12">
        <f t="shared" ref="AG61:AR61" si="12">SUM(AG57-AG50)</f>
        <v>0</v>
      </c>
      <c r="AH61" s="12">
        <f t="shared" si="12"/>
        <v>0</v>
      </c>
      <c r="AI61" s="12">
        <f t="shared" si="12"/>
        <v>0</v>
      </c>
      <c r="AJ61" s="12">
        <f t="shared" si="12"/>
        <v>0</v>
      </c>
      <c r="AK61" s="12">
        <f t="shared" si="12"/>
        <v>0</v>
      </c>
      <c r="AL61" s="12">
        <f t="shared" si="12"/>
        <v>0</v>
      </c>
      <c r="AM61" s="12">
        <f t="shared" si="12"/>
        <v>0</v>
      </c>
      <c r="AN61" s="12">
        <f t="shared" si="12"/>
        <v>0</v>
      </c>
      <c r="AO61" s="12">
        <f t="shared" si="12"/>
        <v>0</v>
      </c>
      <c r="AP61" s="12">
        <f t="shared" si="12"/>
        <v>0</v>
      </c>
      <c r="AQ61" s="12">
        <f t="shared" si="12"/>
        <v>0</v>
      </c>
      <c r="AR61" s="12">
        <f t="shared" si="12"/>
        <v>0</v>
      </c>
      <c r="AS61" s="13">
        <f>SUM(AG61:AR61)</f>
        <v>0</v>
      </c>
      <c r="AU61" s="12">
        <f t="shared" ref="AU61:BF61" si="13">SUM(AU57-AU50)</f>
        <v>0</v>
      </c>
      <c r="AV61" s="12">
        <f t="shared" si="13"/>
        <v>0</v>
      </c>
      <c r="AW61" s="12">
        <f t="shared" si="13"/>
        <v>0</v>
      </c>
      <c r="AX61" s="12">
        <f t="shared" si="13"/>
        <v>0</v>
      </c>
      <c r="AY61" s="12">
        <f t="shared" si="13"/>
        <v>0</v>
      </c>
      <c r="AZ61" s="12">
        <f t="shared" si="13"/>
        <v>0</v>
      </c>
      <c r="BA61" s="12">
        <f t="shared" si="13"/>
        <v>0</v>
      </c>
      <c r="BB61" s="12">
        <f t="shared" si="13"/>
        <v>0</v>
      </c>
      <c r="BC61" s="12">
        <f t="shared" si="13"/>
        <v>0</v>
      </c>
      <c r="BD61" s="12">
        <f t="shared" si="13"/>
        <v>0</v>
      </c>
      <c r="BE61" s="12">
        <f t="shared" si="13"/>
        <v>0</v>
      </c>
      <c r="BF61" s="12">
        <f t="shared" si="13"/>
        <v>0</v>
      </c>
      <c r="BG61" s="13">
        <f>SUM(AU61:BF61)</f>
        <v>0</v>
      </c>
      <c r="BI61" s="12">
        <f t="shared" ref="BI61:BT61" si="14">SUM(BI57-BI50)</f>
        <v>0</v>
      </c>
      <c r="BJ61" s="12">
        <f t="shared" si="14"/>
        <v>0</v>
      </c>
      <c r="BK61" s="12">
        <f t="shared" si="14"/>
        <v>0</v>
      </c>
      <c r="BL61" s="12">
        <f t="shared" si="14"/>
        <v>0</v>
      </c>
      <c r="BM61" s="12">
        <f t="shared" si="14"/>
        <v>0</v>
      </c>
      <c r="BN61" s="12">
        <f t="shared" si="14"/>
        <v>0</v>
      </c>
      <c r="BO61" s="12">
        <f t="shared" si="14"/>
        <v>0</v>
      </c>
      <c r="BP61" s="12">
        <f t="shared" si="14"/>
        <v>0</v>
      </c>
      <c r="BQ61" s="12">
        <f t="shared" si="14"/>
        <v>0</v>
      </c>
      <c r="BR61" s="12">
        <f t="shared" si="14"/>
        <v>0</v>
      </c>
      <c r="BS61" s="12">
        <f t="shared" si="14"/>
        <v>0</v>
      </c>
      <c r="BT61" s="12">
        <f t="shared" si="14"/>
        <v>0</v>
      </c>
      <c r="BU61" s="13">
        <f>SUM(BI61:BT61)</f>
        <v>0</v>
      </c>
    </row>
  </sheetData>
  <mergeCells count="8">
    <mergeCell ref="A2:B2"/>
    <mergeCell ref="A3:B3"/>
    <mergeCell ref="A4:B4"/>
    <mergeCell ref="A5:B5"/>
    <mergeCell ref="C2:Q2"/>
    <mergeCell ref="C3:Q3"/>
    <mergeCell ref="C4:Q4"/>
    <mergeCell ref="C5:Q5"/>
  </mergeCells>
  <phoneticPr fontId="8"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772EDCB-D8E0-4CE3-B417-EED8C1B99066}">
          <x14:formula1>
            <xm:f>Lists!$A$2:$A$5</xm:f>
          </x14:formula1>
          <xm:sqref>C53:C56</xm:sqref>
        </x14:dataValidation>
        <x14:dataValidation type="list" allowBlank="1" showInputMessage="1" showErrorMessage="1" xr:uid="{4462F0F6-6950-4DA2-B596-A933CFBED3C9}">
          <x14:formula1>
            <xm:f>Lists!$A$9:$A$10</xm:f>
          </x14:formula1>
          <xm:sqref>C46:C49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1E662-3EC5-4CE2-9F94-4A92AAF4CF0B}">
  <sheetPr>
    <tabColor theme="4"/>
  </sheetPr>
  <dimension ref="A2:F9"/>
  <sheetViews>
    <sheetView showGridLines="0" tabSelected="1" zoomScaleNormal="100" workbookViewId="0">
      <selection activeCell="D9" sqref="D9"/>
    </sheetView>
  </sheetViews>
  <sheetFormatPr defaultColWidth="0" defaultRowHeight="14.5" x14ac:dyDescent="0.35"/>
  <cols>
    <col min="1" max="1" width="2.7265625" style="18" customWidth="1"/>
    <col min="2" max="2" width="2.7265625" customWidth="1"/>
    <col min="3" max="3" width="45.1796875" bestFit="1" customWidth="1"/>
    <col min="4" max="4" width="73.26953125" customWidth="1"/>
    <col min="5" max="5" width="2.7265625" customWidth="1"/>
    <col min="6" max="6" width="9.1796875" style="18" customWidth="1"/>
    <col min="7" max="16384" width="9.1796875" hidden="1"/>
  </cols>
  <sheetData>
    <row r="2" spans="1:4" ht="31" x14ac:dyDescent="0.7">
      <c r="A2" s="25"/>
      <c r="C2" s="23" t="str">
        <f>"Transformation Funding Worksheet - " &amp;D6</f>
        <v>Transformation Funding Worksheet - DLN Transformation Fund</v>
      </c>
    </row>
    <row r="3" spans="1:4" ht="16.5" x14ac:dyDescent="0.35">
      <c r="C3" s="24" t="s">
        <v>114</v>
      </c>
      <c r="D3" s="24"/>
    </row>
    <row r="5" spans="1:4" ht="16.5" x14ac:dyDescent="0.45">
      <c r="C5" s="39" t="s">
        <v>115</v>
      </c>
      <c r="D5" s="39" t="s">
        <v>116</v>
      </c>
    </row>
    <row r="6" spans="1:4" ht="16.5" x14ac:dyDescent="0.35">
      <c r="C6" s="36" t="s">
        <v>54</v>
      </c>
      <c r="D6" s="37" t="s">
        <v>216</v>
      </c>
    </row>
    <row r="7" spans="1:4" ht="16.5" x14ac:dyDescent="0.35">
      <c r="C7" s="36" t="s">
        <v>56</v>
      </c>
      <c r="D7" s="37" t="s">
        <v>57</v>
      </c>
    </row>
    <row r="8" spans="1:4" ht="16.5" x14ac:dyDescent="0.35">
      <c r="C8" s="36" t="s">
        <v>58</v>
      </c>
      <c r="D8" s="37" t="s">
        <v>59</v>
      </c>
    </row>
    <row r="9" spans="1:4" ht="16.5" x14ac:dyDescent="0.35">
      <c r="C9" s="40" t="s">
        <v>60</v>
      </c>
      <c r="D9" s="38" t="s">
        <v>61</v>
      </c>
    </row>
  </sheetData>
  <conditionalFormatting sqref="C5:D5">
    <cfRule type="expression" dxfId="71" priority="1">
      <formula>_xlfn.ISFORMULA(C5)</formula>
    </cfRule>
  </conditionalFormatting>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2FC7A-E225-4762-9D5F-945BD31895F7}">
  <dimension ref="A2:C68"/>
  <sheetViews>
    <sheetView zoomScale="90" zoomScaleNormal="90" workbookViewId="0">
      <pane xSplit="1" ySplit="2" topLeftCell="B3" activePane="bottomRight" state="frozen"/>
      <selection pane="topRight" activeCell="B1" sqref="B1"/>
      <selection pane="bottomLeft" activeCell="A5" sqref="A5"/>
      <selection pane="bottomRight"/>
    </sheetView>
  </sheetViews>
  <sheetFormatPr defaultRowHeight="14.5" x14ac:dyDescent="0.35"/>
  <cols>
    <col min="1" max="1" width="21.1796875" style="117" customWidth="1"/>
    <col min="2" max="2" width="17.81640625" bestFit="1" customWidth="1"/>
    <col min="3" max="3" width="141.26953125" customWidth="1"/>
  </cols>
  <sheetData>
    <row r="2" spans="1:3" ht="29.5" customHeight="1" x14ac:dyDescent="0.35">
      <c r="A2" s="106" t="s">
        <v>219</v>
      </c>
      <c r="B2" s="106" t="s">
        <v>220</v>
      </c>
      <c r="C2" s="106" t="s">
        <v>221</v>
      </c>
    </row>
    <row r="3" spans="1:3" x14ac:dyDescent="0.35">
      <c r="A3" s="107" t="s">
        <v>222</v>
      </c>
      <c r="B3" s="108" t="s">
        <v>223</v>
      </c>
      <c r="C3" s="108" t="s">
        <v>224</v>
      </c>
    </row>
    <row r="4" spans="1:3" x14ac:dyDescent="0.35">
      <c r="A4" s="107"/>
      <c r="B4" s="108" t="s">
        <v>225</v>
      </c>
      <c r="C4" s="108" t="s">
        <v>226</v>
      </c>
    </row>
    <row r="5" spans="1:3" x14ac:dyDescent="0.35">
      <c r="A5" s="107"/>
      <c r="B5" s="108" t="s">
        <v>227</v>
      </c>
      <c r="C5" s="108" t="s">
        <v>228</v>
      </c>
    </row>
    <row r="6" spans="1:3" ht="21.5" customHeight="1" x14ac:dyDescent="0.35">
      <c r="A6" s="107"/>
      <c r="B6" s="108" t="s">
        <v>229</v>
      </c>
      <c r="C6" s="108" t="s">
        <v>230</v>
      </c>
    </row>
    <row r="7" spans="1:3" x14ac:dyDescent="0.35">
      <c r="A7" s="109" t="s">
        <v>231</v>
      </c>
      <c r="B7" s="108" t="s">
        <v>232</v>
      </c>
      <c r="C7" s="108" t="s">
        <v>233</v>
      </c>
    </row>
    <row r="8" spans="1:3" x14ac:dyDescent="0.35">
      <c r="A8" s="109"/>
      <c r="B8" s="108" t="s">
        <v>234</v>
      </c>
      <c r="C8" s="108" t="s">
        <v>235</v>
      </c>
    </row>
    <row r="9" spans="1:3" x14ac:dyDescent="0.35">
      <c r="A9" s="109"/>
      <c r="B9" s="108" t="s">
        <v>236</v>
      </c>
      <c r="C9" s="108" t="s">
        <v>237</v>
      </c>
    </row>
    <row r="10" spans="1:3" x14ac:dyDescent="0.35">
      <c r="A10" s="109"/>
      <c r="B10" s="108" t="s">
        <v>238</v>
      </c>
      <c r="C10" s="108" t="s">
        <v>239</v>
      </c>
    </row>
    <row r="11" spans="1:3" x14ac:dyDescent="0.35">
      <c r="A11" s="109"/>
      <c r="B11" s="108" t="s">
        <v>240</v>
      </c>
      <c r="C11" s="108" t="s">
        <v>241</v>
      </c>
    </row>
    <row r="12" spans="1:3" x14ac:dyDescent="0.35">
      <c r="A12" s="109" t="s">
        <v>242</v>
      </c>
      <c r="B12" s="108" t="s">
        <v>243</v>
      </c>
      <c r="C12" s="108" t="s">
        <v>244</v>
      </c>
    </row>
    <row r="13" spans="1:3" x14ac:dyDescent="0.35">
      <c r="A13" s="109"/>
      <c r="B13" s="108" t="s">
        <v>245</v>
      </c>
      <c r="C13" s="108" t="s">
        <v>246</v>
      </c>
    </row>
    <row r="14" spans="1:3" x14ac:dyDescent="0.35">
      <c r="A14" s="109"/>
      <c r="B14" s="108" t="s">
        <v>247</v>
      </c>
      <c r="C14" s="108" t="s">
        <v>248</v>
      </c>
    </row>
    <row r="15" spans="1:3" x14ac:dyDescent="0.35">
      <c r="A15" s="109" t="s">
        <v>249</v>
      </c>
      <c r="B15" s="108" t="s">
        <v>250</v>
      </c>
      <c r="C15" s="108" t="s">
        <v>251</v>
      </c>
    </row>
    <row r="16" spans="1:3" x14ac:dyDescent="0.35">
      <c r="A16" s="109"/>
      <c r="B16" s="108" t="s">
        <v>252</v>
      </c>
      <c r="C16" s="108" t="s">
        <v>253</v>
      </c>
    </row>
    <row r="17" spans="1:3" x14ac:dyDescent="0.35">
      <c r="A17" s="109"/>
      <c r="B17" s="108" t="s">
        <v>254</v>
      </c>
      <c r="C17" s="108" t="s">
        <v>255</v>
      </c>
    </row>
    <row r="18" spans="1:3" x14ac:dyDescent="0.35">
      <c r="A18" s="109" t="s">
        <v>256</v>
      </c>
      <c r="B18" s="108" t="s">
        <v>257</v>
      </c>
      <c r="C18" s="108" t="s">
        <v>258</v>
      </c>
    </row>
    <row r="19" spans="1:3" x14ac:dyDescent="0.35">
      <c r="A19" s="109"/>
      <c r="B19" s="108" t="s">
        <v>259</v>
      </c>
      <c r="C19" s="108" t="s">
        <v>260</v>
      </c>
    </row>
    <row r="20" spans="1:3" ht="24" x14ac:dyDescent="0.35">
      <c r="A20" s="110" t="s">
        <v>261</v>
      </c>
      <c r="B20" s="108" t="s">
        <v>262</v>
      </c>
      <c r="C20" s="108" t="s">
        <v>263</v>
      </c>
    </row>
    <row r="21" spans="1:3" ht="26.5" x14ac:dyDescent="0.35">
      <c r="A21" s="110" t="s">
        <v>264</v>
      </c>
      <c r="B21" s="108" t="s">
        <v>265</v>
      </c>
      <c r="C21" s="108" t="s">
        <v>266</v>
      </c>
    </row>
    <row r="22" spans="1:3" ht="54.5" x14ac:dyDescent="0.35">
      <c r="A22" s="110" t="s">
        <v>267</v>
      </c>
      <c r="B22" s="108" t="s">
        <v>268</v>
      </c>
      <c r="C22" s="111" t="s">
        <v>269</v>
      </c>
    </row>
    <row r="23" spans="1:3" x14ac:dyDescent="0.35">
      <c r="A23" s="109" t="s">
        <v>270</v>
      </c>
      <c r="B23" s="108" t="s">
        <v>271</v>
      </c>
      <c r="C23" s="108" t="s">
        <v>272</v>
      </c>
    </row>
    <row r="24" spans="1:3" x14ac:dyDescent="0.35">
      <c r="A24" s="109"/>
      <c r="B24" s="108" t="s">
        <v>273</v>
      </c>
      <c r="C24" s="108" t="s">
        <v>274</v>
      </c>
    </row>
    <row r="25" spans="1:3" x14ac:dyDescent="0.35">
      <c r="A25" s="109"/>
      <c r="B25" s="108" t="s">
        <v>275</v>
      </c>
      <c r="C25" s="108" t="s">
        <v>276</v>
      </c>
    </row>
    <row r="26" spans="1:3" x14ac:dyDescent="0.35">
      <c r="A26" s="109"/>
      <c r="B26" s="108" t="s">
        <v>277</v>
      </c>
      <c r="C26" s="108" t="s">
        <v>278</v>
      </c>
    </row>
    <row r="27" spans="1:3" x14ac:dyDescent="0.35">
      <c r="A27" s="109"/>
      <c r="B27" s="108" t="s">
        <v>279</v>
      </c>
      <c r="C27" s="111" t="s">
        <v>280</v>
      </c>
    </row>
    <row r="28" spans="1:3" ht="16" x14ac:dyDescent="0.4">
      <c r="A28" s="109"/>
      <c r="B28" s="108" t="s">
        <v>281</v>
      </c>
      <c r="C28" s="112" t="s">
        <v>282</v>
      </c>
    </row>
    <row r="29" spans="1:3" ht="16" x14ac:dyDescent="0.4">
      <c r="A29" s="109"/>
      <c r="B29" s="108" t="s">
        <v>283</v>
      </c>
      <c r="C29" s="112" t="s">
        <v>284</v>
      </c>
    </row>
    <row r="30" spans="1:3" ht="16" x14ac:dyDescent="0.4">
      <c r="A30" s="109"/>
      <c r="B30" s="108" t="s">
        <v>285</v>
      </c>
      <c r="C30" s="112" t="s">
        <v>286</v>
      </c>
    </row>
    <row r="31" spans="1:3" ht="16" x14ac:dyDescent="0.4">
      <c r="A31" s="109"/>
      <c r="B31" s="108" t="s">
        <v>287</v>
      </c>
      <c r="C31" s="112" t="s">
        <v>288</v>
      </c>
    </row>
    <row r="32" spans="1:3" ht="16" x14ac:dyDescent="0.4">
      <c r="A32" s="109"/>
      <c r="B32" s="108" t="s">
        <v>289</v>
      </c>
      <c r="C32" s="112" t="s">
        <v>290</v>
      </c>
    </row>
    <row r="33" spans="1:3" ht="16" x14ac:dyDescent="0.4">
      <c r="A33" s="107" t="s">
        <v>291</v>
      </c>
      <c r="B33" s="108" t="s">
        <v>292</v>
      </c>
      <c r="C33" s="112" t="s">
        <v>293</v>
      </c>
    </row>
    <row r="34" spans="1:3" ht="16" x14ac:dyDescent="0.4">
      <c r="A34" s="107"/>
      <c r="B34" s="108" t="s">
        <v>294</v>
      </c>
      <c r="C34" s="112" t="s">
        <v>295</v>
      </c>
    </row>
    <row r="35" spans="1:3" ht="16" x14ac:dyDescent="0.35">
      <c r="A35" s="107"/>
      <c r="B35" s="108" t="s">
        <v>296</v>
      </c>
      <c r="C35" s="113" t="s">
        <v>297</v>
      </c>
    </row>
    <row r="36" spans="1:3" ht="16" x14ac:dyDescent="0.35">
      <c r="A36" s="107"/>
      <c r="B36" s="108" t="s">
        <v>298</v>
      </c>
      <c r="C36" s="113" t="s">
        <v>299</v>
      </c>
    </row>
    <row r="37" spans="1:3" x14ac:dyDescent="0.35">
      <c r="A37" s="109" t="s">
        <v>300</v>
      </c>
      <c r="B37" s="108" t="s">
        <v>301</v>
      </c>
      <c r="C37" s="108" t="s">
        <v>302</v>
      </c>
    </row>
    <row r="38" spans="1:3" x14ac:dyDescent="0.35">
      <c r="A38" s="109"/>
      <c r="B38" s="108" t="s">
        <v>303</v>
      </c>
      <c r="C38" s="108" t="s">
        <v>304</v>
      </c>
    </row>
    <row r="39" spans="1:3" x14ac:dyDescent="0.35">
      <c r="A39" s="109"/>
      <c r="B39" s="108" t="s">
        <v>305</v>
      </c>
      <c r="C39" s="108" t="s">
        <v>306</v>
      </c>
    </row>
    <row r="40" spans="1:3" ht="16" x14ac:dyDescent="0.4">
      <c r="A40" s="109"/>
      <c r="B40" s="108" t="s">
        <v>307</v>
      </c>
      <c r="C40" s="114" t="s">
        <v>308</v>
      </c>
    </row>
    <row r="41" spans="1:3" ht="16" x14ac:dyDescent="0.4">
      <c r="A41" s="109"/>
      <c r="B41" s="108" t="s">
        <v>309</v>
      </c>
      <c r="C41" s="114" t="s">
        <v>310</v>
      </c>
    </row>
    <row r="42" spans="1:3" ht="16" x14ac:dyDescent="0.35">
      <c r="A42" s="109"/>
      <c r="B42" s="108" t="s">
        <v>311</v>
      </c>
      <c r="C42" s="115" t="s">
        <v>312</v>
      </c>
    </row>
    <row r="43" spans="1:3" ht="16" x14ac:dyDescent="0.35">
      <c r="A43" s="109"/>
      <c r="B43" s="108" t="s">
        <v>313</v>
      </c>
      <c r="C43" s="115" t="s">
        <v>314</v>
      </c>
    </row>
    <row r="44" spans="1:3" ht="16" x14ac:dyDescent="0.4">
      <c r="A44" s="109" t="s">
        <v>315</v>
      </c>
      <c r="B44" s="108" t="s">
        <v>316</v>
      </c>
      <c r="C44" s="112" t="s">
        <v>317</v>
      </c>
    </row>
    <row r="45" spans="1:3" ht="16" x14ac:dyDescent="0.4">
      <c r="A45" s="109"/>
      <c r="B45" s="108" t="s">
        <v>318</v>
      </c>
      <c r="C45" s="112" t="s">
        <v>319</v>
      </c>
    </row>
    <row r="46" spans="1:3" ht="16" x14ac:dyDescent="0.4">
      <c r="A46" s="109"/>
      <c r="B46" s="108" t="s">
        <v>320</v>
      </c>
      <c r="C46" s="112" t="s">
        <v>321</v>
      </c>
    </row>
    <row r="47" spans="1:3" x14ac:dyDescent="0.35">
      <c r="A47" s="109"/>
      <c r="B47" s="108" t="s">
        <v>322</v>
      </c>
      <c r="C47" s="111" t="s">
        <v>323</v>
      </c>
    </row>
    <row r="48" spans="1:3" x14ac:dyDescent="0.35">
      <c r="A48" s="109"/>
      <c r="B48" s="108" t="s">
        <v>324</v>
      </c>
      <c r="C48" s="108" t="s">
        <v>325</v>
      </c>
    </row>
    <row r="49" spans="1:3" x14ac:dyDescent="0.35">
      <c r="A49" s="109"/>
      <c r="B49" s="108" t="s">
        <v>326</v>
      </c>
      <c r="C49" s="108" t="s">
        <v>327</v>
      </c>
    </row>
    <row r="50" spans="1:3" x14ac:dyDescent="0.35">
      <c r="A50" s="109"/>
      <c r="B50" s="108" t="s">
        <v>328</v>
      </c>
      <c r="C50" s="108" t="s">
        <v>329</v>
      </c>
    </row>
    <row r="51" spans="1:3" x14ac:dyDescent="0.35">
      <c r="A51" s="109" t="s">
        <v>291</v>
      </c>
      <c r="B51" s="108" t="s">
        <v>330</v>
      </c>
      <c r="C51" s="111" t="s">
        <v>331</v>
      </c>
    </row>
    <row r="52" spans="1:3" x14ac:dyDescent="0.35">
      <c r="A52" s="109"/>
      <c r="B52" s="108" t="s">
        <v>332</v>
      </c>
      <c r="C52" s="108" t="s">
        <v>333</v>
      </c>
    </row>
    <row r="53" spans="1:3" x14ac:dyDescent="0.35">
      <c r="A53" s="109"/>
      <c r="B53" s="108" t="s">
        <v>334</v>
      </c>
      <c r="C53" s="108" t="s">
        <v>335</v>
      </c>
    </row>
    <row r="54" spans="1:3" x14ac:dyDescent="0.35">
      <c r="A54" s="109" t="s">
        <v>336</v>
      </c>
      <c r="B54" s="108" t="s">
        <v>337</v>
      </c>
      <c r="C54" s="108" t="s">
        <v>338</v>
      </c>
    </row>
    <row r="55" spans="1:3" x14ac:dyDescent="0.35">
      <c r="A55" s="109"/>
      <c r="B55" s="108" t="s">
        <v>339</v>
      </c>
      <c r="C55" s="108" t="s">
        <v>340</v>
      </c>
    </row>
    <row r="56" spans="1:3" x14ac:dyDescent="0.35">
      <c r="A56" s="106" t="s">
        <v>341</v>
      </c>
      <c r="B56" s="116"/>
      <c r="C56" s="116"/>
    </row>
    <row r="57" spans="1:3" x14ac:dyDescent="0.35">
      <c r="A57" s="109" t="s">
        <v>342</v>
      </c>
      <c r="B57" s="108" t="s">
        <v>343</v>
      </c>
      <c r="C57" s="108" t="s">
        <v>344</v>
      </c>
    </row>
    <row r="58" spans="1:3" x14ac:dyDescent="0.35">
      <c r="A58" s="109"/>
      <c r="B58" s="108" t="s">
        <v>345</v>
      </c>
      <c r="C58" s="108" t="s">
        <v>346</v>
      </c>
    </row>
    <row r="59" spans="1:3" x14ac:dyDescent="0.35">
      <c r="A59" s="109"/>
      <c r="B59" s="108" t="s">
        <v>347</v>
      </c>
      <c r="C59" s="108" t="s">
        <v>348</v>
      </c>
    </row>
    <row r="60" spans="1:3" x14ac:dyDescent="0.35">
      <c r="A60" s="109"/>
      <c r="B60" s="108" t="s">
        <v>349</v>
      </c>
      <c r="C60" s="108" t="s">
        <v>350</v>
      </c>
    </row>
    <row r="61" spans="1:3" x14ac:dyDescent="0.35">
      <c r="A61" s="109"/>
      <c r="B61" s="108" t="s">
        <v>349</v>
      </c>
      <c r="C61" s="108" t="s">
        <v>351</v>
      </c>
    </row>
    <row r="62" spans="1:3" x14ac:dyDescent="0.35">
      <c r="A62" s="109"/>
      <c r="B62" s="108" t="s">
        <v>352</v>
      </c>
      <c r="C62" s="108" t="s">
        <v>353</v>
      </c>
    </row>
    <row r="63" spans="1:3" x14ac:dyDescent="0.35">
      <c r="A63" s="109"/>
      <c r="B63" s="108" t="s">
        <v>352</v>
      </c>
      <c r="C63" s="108" t="s">
        <v>354</v>
      </c>
    </row>
    <row r="64" spans="1:3" x14ac:dyDescent="0.35">
      <c r="A64" s="109"/>
      <c r="B64" s="108" t="s">
        <v>355</v>
      </c>
      <c r="C64" s="108" t="s">
        <v>356</v>
      </c>
    </row>
    <row r="65" spans="1:3" x14ac:dyDescent="0.35">
      <c r="A65" s="109"/>
      <c r="B65" s="108" t="s">
        <v>357</v>
      </c>
      <c r="C65" s="108" t="s">
        <v>358</v>
      </c>
    </row>
    <row r="66" spans="1:3" x14ac:dyDescent="0.35">
      <c r="A66" s="109"/>
      <c r="B66" s="108" t="s">
        <v>359</v>
      </c>
      <c r="C66" s="108" t="s">
        <v>360</v>
      </c>
    </row>
    <row r="67" spans="1:3" x14ac:dyDescent="0.35">
      <c r="A67" s="109"/>
      <c r="B67" s="108" t="s">
        <v>361</v>
      </c>
      <c r="C67" s="108" t="s">
        <v>362</v>
      </c>
    </row>
    <row r="68" spans="1:3" x14ac:dyDescent="0.35">
      <c r="A68" s="109"/>
      <c r="B68" s="108" t="s">
        <v>363</v>
      </c>
      <c r="C68" s="108" t="s">
        <v>364</v>
      </c>
    </row>
  </sheetData>
  <autoFilter ref="A2:C55" xr:uid="{00000000-0001-0000-0000-000000000000}"/>
  <mergeCells count="13">
    <mergeCell ref="A57:A68"/>
    <mergeCell ref="A33:A36"/>
    <mergeCell ref="A37:A43"/>
    <mergeCell ref="A44:A50"/>
    <mergeCell ref="A51:A53"/>
    <mergeCell ref="A54:A55"/>
    <mergeCell ref="B56:C56"/>
    <mergeCell ref="A3:A6"/>
    <mergeCell ref="A7:A11"/>
    <mergeCell ref="A12:A14"/>
    <mergeCell ref="A15:A17"/>
    <mergeCell ref="A18:A19"/>
    <mergeCell ref="A23:A3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93CC3-4EAA-43C6-B55C-BF6391322840}">
  <sheetPr>
    <tabColor theme="5" tint="0.59999389629810485"/>
    <pageSetUpPr fitToPage="1"/>
  </sheetPr>
  <dimension ref="A2:CD29"/>
  <sheetViews>
    <sheetView showGridLines="0" zoomScale="130" zoomScaleNormal="130" workbookViewId="0">
      <selection activeCell="B1" sqref="B1"/>
    </sheetView>
  </sheetViews>
  <sheetFormatPr defaultColWidth="0" defaultRowHeight="14.5" x14ac:dyDescent="0.35"/>
  <cols>
    <col min="1" max="1" width="2.7265625" style="18" customWidth="1"/>
    <col min="2" max="2" width="5.08984375" customWidth="1"/>
    <col min="3" max="3" width="11.7265625" customWidth="1"/>
    <col min="4" max="4" width="12.1796875" customWidth="1"/>
    <col min="5" max="5" width="15" customWidth="1"/>
    <col min="6" max="6" width="44" customWidth="1"/>
    <col min="7" max="7" width="15.453125" customWidth="1"/>
    <col min="8" max="8" width="13.81640625" customWidth="1"/>
    <col min="9" max="9" width="12" customWidth="1"/>
    <col min="10" max="10" width="12.7265625" style="57" customWidth="1"/>
    <col min="11" max="12" width="12.7265625" customWidth="1"/>
    <col min="13" max="13" width="9.1796875" customWidth="1"/>
    <col min="14" max="76" width="9.1796875" style="57" customWidth="1"/>
    <col min="77" max="78" width="8.90625" style="57" customWidth="1"/>
    <col min="79" max="79" width="9.1796875" style="18" customWidth="1"/>
    <col min="80" max="82" width="0" hidden="1" customWidth="1"/>
    <col min="83" max="16384" width="9.1796875" hidden="1"/>
  </cols>
  <sheetData>
    <row r="2" spans="1:80" ht="31" x14ac:dyDescent="0.7">
      <c r="A2" s="25"/>
      <c r="C2" s="23" t="str">
        <f>ApplicationTitle</f>
        <v>Transformation Funding Worksheet - DLN Transformation Fund</v>
      </c>
    </row>
    <row r="3" spans="1:80" ht="16.5" x14ac:dyDescent="0.35">
      <c r="C3" s="24" t="s">
        <v>119</v>
      </c>
      <c r="D3" s="24"/>
      <c r="E3" s="24"/>
      <c r="F3" s="24"/>
      <c r="G3" s="24"/>
      <c r="H3" s="24"/>
      <c r="I3" s="24"/>
      <c r="J3" s="92"/>
      <c r="K3" s="24"/>
      <c r="L3" s="24"/>
      <c r="M3" s="24"/>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row>
    <row r="4" spans="1:80" ht="16.5" x14ac:dyDescent="0.35">
      <c r="C4" s="118" t="s">
        <v>366</v>
      </c>
    </row>
    <row r="5" spans="1:80" x14ac:dyDescent="0.35">
      <c r="C5" s="119"/>
    </row>
    <row r="6" spans="1:80" ht="71.25" customHeight="1" x14ac:dyDescent="0.35">
      <c r="C6" s="31" t="s">
        <v>120</v>
      </c>
      <c r="D6" s="4" t="s">
        <v>121</v>
      </c>
      <c r="E6" s="4" t="s">
        <v>122</v>
      </c>
      <c r="F6" s="4" t="s">
        <v>123</v>
      </c>
      <c r="G6" s="4" t="s">
        <v>124</v>
      </c>
      <c r="H6" s="4" t="s">
        <v>125</v>
      </c>
      <c r="I6" s="4" t="s">
        <v>126</v>
      </c>
      <c r="J6" s="93" t="s">
        <v>127</v>
      </c>
      <c r="K6" s="17" t="s">
        <v>128</v>
      </c>
      <c r="L6" s="17" t="s">
        <v>129</v>
      </c>
      <c r="M6" s="17" t="s">
        <v>130</v>
      </c>
      <c r="N6" s="94" t="s">
        <v>131</v>
      </c>
      <c r="O6" s="94" t="s">
        <v>132</v>
      </c>
      <c r="P6" s="94" t="s">
        <v>133</v>
      </c>
      <c r="Q6" s="94" t="s">
        <v>134</v>
      </c>
      <c r="R6" s="94" t="s">
        <v>135</v>
      </c>
      <c r="S6" s="94" t="s">
        <v>136</v>
      </c>
      <c r="T6" s="94" t="s">
        <v>137</v>
      </c>
      <c r="U6" s="94" t="s">
        <v>138</v>
      </c>
      <c r="V6" s="94" t="s">
        <v>139</v>
      </c>
      <c r="W6" s="94" t="s">
        <v>140</v>
      </c>
      <c r="X6" s="94" t="s">
        <v>141</v>
      </c>
      <c r="Y6" s="95" t="s">
        <v>142</v>
      </c>
      <c r="Z6" s="96" t="s">
        <v>143</v>
      </c>
      <c r="AA6" s="94" t="s">
        <v>144</v>
      </c>
      <c r="AB6" s="94" t="s">
        <v>145</v>
      </c>
      <c r="AC6" s="94" t="s">
        <v>146</v>
      </c>
      <c r="AD6" s="94" t="s">
        <v>147</v>
      </c>
      <c r="AE6" s="94" t="s">
        <v>148</v>
      </c>
      <c r="AF6" s="94" t="s">
        <v>149</v>
      </c>
      <c r="AG6" s="94" t="s">
        <v>150</v>
      </c>
      <c r="AH6" s="94" t="s">
        <v>151</v>
      </c>
      <c r="AI6" s="94" t="s">
        <v>152</v>
      </c>
      <c r="AJ6" s="94" t="s">
        <v>153</v>
      </c>
      <c r="AK6" s="94" t="s">
        <v>154</v>
      </c>
      <c r="AL6" s="94" t="s">
        <v>155</v>
      </c>
      <c r="AM6" s="96" t="s">
        <v>156</v>
      </c>
      <c r="AN6" s="94" t="s">
        <v>157</v>
      </c>
      <c r="AO6" s="94" t="s">
        <v>158</v>
      </c>
      <c r="AP6" s="94" t="s">
        <v>159</v>
      </c>
      <c r="AQ6" s="94" t="s">
        <v>160</v>
      </c>
      <c r="AR6" s="94" t="s">
        <v>161</v>
      </c>
      <c r="AS6" s="94" t="s">
        <v>162</v>
      </c>
      <c r="AT6" s="94" t="s">
        <v>163</v>
      </c>
      <c r="AU6" s="94" t="s">
        <v>164</v>
      </c>
      <c r="AV6" s="94" t="s">
        <v>165</v>
      </c>
      <c r="AW6" s="94" t="s">
        <v>166</v>
      </c>
      <c r="AX6" s="94" t="s">
        <v>167</v>
      </c>
      <c r="AY6" s="94" t="s">
        <v>168</v>
      </c>
      <c r="AZ6" s="96" t="s">
        <v>169</v>
      </c>
      <c r="BA6" s="94" t="s">
        <v>170</v>
      </c>
      <c r="BB6" s="94" t="s">
        <v>171</v>
      </c>
      <c r="BC6" s="94" t="s">
        <v>172</v>
      </c>
      <c r="BD6" s="94" t="s">
        <v>173</v>
      </c>
      <c r="BE6" s="94" t="s">
        <v>174</v>
      </c>
      <c r="BF6" s="94" t="s">
        <v>175</v>
      </c>
      <c r="BG6" s="94" t="s">
        <v>176</v>
      </c>
      <c r="BH6" s="94" t="s">
        <v>177</v>
      </c>
      <c r="BI6" s="94" t="s">
        <v>178</v>
      </c>
      <c r="BJ6" s="94" t="s">
        <v>179</v>
      </c>
      <c r="BK6" s="94" t="s">
        <v>180</v>
      </c>
      <c r="BL6" s="94" t="s">
        <v>181</v>
      </c>
      <c r="BM6" s="97" t="s">
        <v>182</v>
      </c>
      <c r="BN6" s="94" t="s">
        <v>183</v>
      </c>
      <c r="BO6" s="94" t="s">
        <v>184</v>
      </c>
      <c r="BP6" s="94" t="s">
        <v>185</v>
      </c>
      <c r="BQ6" s="94" t="s">
        <v>186</v>
      </c>
      <c r="BR6" s="94" t="s">
        <v>187</v>
      </c>
      <c r="BS6" s="94" t="s">
        <v>188</v>
      </c>
      <c r="BT6" s="94" t="s">
        <v>189</v>
      </c>
      <c r="BU6" s="94" t="s">
        <v>190</v>
      </c>
      <c r="BV6" s="94" t="s">
        <v>191</v>
      </c>
      <c r="BW6" s="94" t="s">
        <v>192</v>
      </c>
      <c r="BX6" s="94" t="s">
        <v>193</v>
      </c>
      <c r="BY6" s="94" t="s">
        <v>194</v>
      </c>
      <c r="BZ6" s="96" t="s">
        <v>195</v>
      </c>
      <c r="CA6"/>
      <c r="CB6" s="18"/>
    </row>
    <row r="7" spans="1:80" ht="42" x14ac:dyDescent="0.35">
      <c r="B7" s="83" t="str">
        <f>VLOOKUP(BenefitsPlanTable[[#This Row],[Benefit Category]],Lists!$E$2:$F$7,2,FALSE)</f>
        <v>PB</v>
      </c>
      <c r="C7" s="27" t="str">
        <f>CONCATENATE(B7,"01")</f>
        <v>PB01</v>
      </c>
      <c r="D7" s="22" t="s">
        <v>7</v>
      </c>
      <c r="E7" s="55" t="s">
        <v>211</v>
      </c>
      <c r="F7" s="6" t="s">
        <v>368</v>
      </c>
      <c r="G7" s="6" t="s">
        <v>365</v>
      </c>
      <c r="H7" s="6"/>
      <c r="I7" s="6" t="s">
        <v>218</v>
      </c>
      <c r="J7" s="84"/>
      <c r="K7" s="41"/>
      <c r="L7" s="41"/>
      <c r="M7" s="41"/>
      <c r="N7" s="61"/>
      <c r="O7" s="61"/>
      <c r="P7" s="61"/>
      <c r="Q7" s="61"/>
      <c r="R7" s="61"/>
      <c r="S7" s="61"/>
      <c r="T7" s="61"/>
      <c r="U7" s="61"/>
      <c r="V7" s="61"/>
      <c r="W7" s="61"/>
      <c r="X7" s="61"/>
      <c r="Y7" s="85"/>
      <c r="Z7" s="62" t="str">
        <f>IF(COUNTA(N7:Y7)=0,"",SUM(N7:Y7))</f>
        <v/>
      </c>
      <c r="AA7" s="86"/>
      <c r="AB7" s="86"/>
      <c r="AC7" s="86"/>
      <c r="AD7" s="86"/>
      <c r="AE7" s="86"/>
      <c r="AF7" s="86"/>
      <c r="AG7" s="86"/>
      <c r="AH7" s="86"/>
      <c r="AI7" s="86"/>
      <c r="AJ7" s="86"/>
      <c r="AK7" s="86"/>
      <c r="AL7" s="86"/>
      <c r="AM7" s="87" t="str">
        <f>IF(COUNTA(AA7:AL7)=0,"",SUM(AA7:AL7))</f>
        <v/>
      </c>
      <c r="AN7" s="86"/>
      <c r="AO7" s="86"/>
      <c r="AP7" s="86"/>
      <c r="AQ7" s="86"/>
      <c r="AR7" s="86"/>
      <c r="AS7" s="86"/>
      <c r="AT7" s="86"/>
      <c r="AU7" s="86"/>
      <c r="AV7" s="86"/>
      <c r="AW7" s="86"/>
      <c r="AX7" s="86"/>
      <c r="AY7" s="86"/>
      <c r="AZ7" s="87" t="str">
        <f>IF(COUNTA(AN7:AY7)=0,"",SUM(AN7:AY7))</f>
        <v/>
      </c>
      <c r="BA7" s="86"/>
      <c r="BB7" s="86"/>
      <c r="BC7" s="86"/>
      <c r="BD7" s="86"/>
      <c r="BE7" s="86"/>
      <c r="BF7" s="86"/>
      <c r="BG7" s="86"/>
      <c r="BH7" s="86"/>
      <c r="BI7" s="86"/>
      <c r="BJ7" s="86"/>
      <c r="BK7" s="86"/>
      <c r="BL7" s="86"/>
      <c r="BM7" s="87" t="str">
        <f>IF(COUNTA(BA7:BL7)=0,"",SUM(BA7:BL7))</f>
        <v/>
      </c>
      <c r="BN7" s="86"/>
      <c r="BO7" s="86"/>
      <c r="BP7" s="86"/>
      <c r="BQ7" s="86"/>
      <c r="BR7" s="86"/>
      <c r="BS7" s="86"/>
      <c r="BT7" s="86"/>
      <c r="BU7" s="86"/>
      <c r="BV7" s="86"/>
      <c r="BW7" s="86"/>
      <c r="BX7" s="86"/>
      <c r="BY7" s="86"/>
      <c r="BZ7" s="87" t="str">
        <f>IF(COUNTA(BN7:BY7)=0,"",SUM(BN7:BY7))</f>
        <v/>
      </c>
      <c r="CA7"/>
      <c r="CB7" s="18"/>
    </row>
    <row r="8" spans="1:80" ht="16" x14ac:dyDescent="0.35">
      <c r="B8" s="83" t="str">
        <f>VLOOKUP(BenefitsPlanTable[[#This Row],[Benefit Category]],Lists!$E$2:$F$7,2,FALSE)</f>
        <v>PB</v>
      </c>
      <c r="C8" s="27" t="str">
        <f>CONCATENATE(B8,"02")</f>
        <v>PB02</v>
      </c>
      <c r="D8" s="22" t="s">
        <v>7</v>
      </c>
      <c r="E8" s="55" t="s">
        <v>211</v>
      </c>
      <c r="F8" s="6"/>
      <c r="G8" s="6"/>
      <c r="H8" s="6"/>
      <c r="I8" s="6"/>
      <c r="J8" s="84"/>
      <c r="K8" s="41"/>
      <c r="L8" s="41"/>
      <c r="M8" s="41"/>
      <c r="N8" s="61"/>
      <c r="O8" s="61"/>
      <c r="P8" s="61"/>
      <c r="Q8" s="61"/>
      <c r="R8" s="61"/>
      <c r="S8" s="61"/>
      <c r="T8" s="61"/>
      <c r="U8" s="61"/>
      <c r="V8" s="61"/>
      <c r="W8" s="61"/>
      <c r="X8" s="61"/>
      <c r="Y8" s="85"/>
      <c r="Z8" s="62" t="str">
        <f t="shared" ref="Z8:Z25" si="0">IF(COUNTA(N8:Y8)=0,"",SUM(N8:Y8))</f>
        <v/>
      </c>
      <c r="AA8" s="61"/>
      <c r="AB8" s="61"/>
      <c r="AC8" s="61"/>
      <c r="AD8" s="61"/>
      <c r="AE8" s="61"/>
      <c r="AF8" s="61"/>
      <c r="AG8" s="61"/>
      <c r="AH8" s="61"/>
      <c r="AI8" s="61"/>
      <c r="AJ8" s="61"/>
      <c r="AK8" s="61"/>
      <c r="AL8" s="61"/>
      <c r="AM8" s="62" t="str">
        <f t="shared" ref="AM8:AM25" si="1">IF(COUNTA(AA8:AL8)=0,"",SUM(AA8:AL8))</f>
        <v/>
      </c>
      <c r="AN8" s="61"/>
      <c r="AO8" s="61"/>
      <c r="AP8" s="61"/>
      <c r="AQ8" s="61"/>
      <c r="AR8" s="61"/>
      <c r="AS8" s="61"/>
      <c r="AT8" s="61"/>
      <c r="AU8" s="61"/>
      <c r="AV8" s="61"/>
      <c r="AW8" s="61"/>
      <c r="AX8" s="61"/>
      <c r="AY8" s="61"/>
      <c r="AZ8" s="87" t="str">
        <f t="shared" ref="AZ8:AZ25" si="2">IF(COUNTA(AN8:AY8)=0,"",SUM(AN8:AY8))</f>
        <v/>
      </c>
      <c r="BA8" s="61"/>
      <c r="BB8" s="61"/>
      <c r="BC8" s="61"/>
      <c r="BD8" s="61"/>
      <c r="BE8" s="61"/>
      <c r="BF8" s="61"/>
      <c r="BG8" s="61"/>
      <c r="BH8" s="61"/>
      <c r="BI8" s="61"/>
      <c r="BJ8" s="61"/>
      <c r="BK8" s="61"/>
      <c r="BL8" s="61"/>
      <c r="BM8" s="87" t="str">
        <f t="shared" ref="BM8:BM25" si="3">IF(COUNTA(BA8:BL8)=0,"",SUM(BA8:BL8))</f>
        <v/>
      </c>
      <c r="BN8" s="61"/>
      <c r="BO8" s="61"/>
      <c r="BP8" s="61"/>
      <c r="BQ8" s="61"/>
      <c r="BR8" s="61"/>
      <c r="BS8" s="61"/>
      <c r="BT8" s="61"/>
      <c r="BU8" s="61"/>
      <c r="BV8" s="61"/>
      <c r="BW8" s="61"/>
      <c r="BX8" s="61"/>
      <c r="BY8" s="61"/>
      <c r="BZ8" s="87" t="str">
        <f t="shared" ref="BZ8:BZ25" si="4">IF(COUNTA(BN8:BY8)=0,"",SUM(BN8:BY8))</f>
        <v/>
      </c>
      <c r="CA8"/>
      <c r="CB8" s="18"/>
    </row>
    <row r="9" spans="1:80" ht="16" x14ac:dyDescent="0.35">
      <c r="B9" s="83" t="str">
        <f>VLOOKUP(BenefitsPlanTable[[#This Row],[Benefit Category]],Lists!$E$2:$F$7,2,FALSE)</f>
        <v>PB</v>
      </c>
      <c r="C9" s="27" t="str">
        <f>CONCATENATE(B9,"03")</f>
        <v>PB03</v>
      </c>
      <c r="D9" s="22" t="s">
        <v>7</v>
      </c>
      <c r="E9" s="55" t="s">
        <v>211</v>
      </c>
      <c r="F9" s="6"/>
      <c r="G9" s="6"/>
      <c r="H9" s="6"/>
      <c r="I9" s="6"/>
      <c r="J9" s="84"/>
      <c r="K9" s="41"/>
      <c r="L9" s="41"/>
      <c r="M9" s="41"/>
      <c r="N9" s="61"/>
      <c r="O9" s="61"/>
      <c r="P9" s="61"/>
      <c r="Q9" s="61"/>
      <c r="R9" s="61"/>
      <c r="S9" s="61"/>
      <c r="T9" s="61"/>
      <c r="U9" s="61"/>
      <c r="V9" s="61"/>
      <c r="W9" s="61"/>
      <c r="X9" s="61"/>
      <c r="Y9" s="85"/>
      <c r="Z9" s="62" t="str">
        <f t="shared" si="0"/>
        <v/>
      </c>
      <c r="AA9" s="61"/>
      <c r="AB9" s="61"/>
      <c r="AC9" s="61"/>
      <c r="AD9" s="61"/>
      <c r="AE9" s="61"/>
      <c r="AF9" s="61"/>
      <c r="AG9" s="61"/>
      <c r="AH9" s="61"/>
      <c r="AI9" s="61"/>
      <c r="AJ9" s="61"/>
      <c r="AK9" s="61"/>
      <c r="AL9" s="61"/>
      <c r="AM9" s="62" t="str">
        <f t="shared" si="1"/>
        <v/>
      </c>
      <c r="AN9" s="61"/>
      <c r="AO9" s="61"/>
      <c r="AP9" s="61"/>
      <c r="AQ9" s="61"/>
      <c r="AR9" s="61"/>
      <c r="AS9" s="61"/>
      <c r="AT9" s="61"/>
      <c r="AU9" s="61"/>
      <c r="AV9" s="61"/>
      <c r="AW9" s="61"/>
      <c r="AX9" s="61"/>
      <c r="AY9" s="61"/>
      <c r="AZ9" s="87" t="str">
        <f t="shared" si="2"/>
        <v/>
      </c>
      <c r="BA9" s="61"/>
      <c r="BB9" s="61"/>
      <c r="BC9" s="61"/>
      <c r="BD9" s="61"/>
      <c r="BE9" s="61"/>
      <c r="BF9" s="61"/>
      <c r="BG9" s="61"/>
      <c r="BH9" s="61"/>
      <c r="BI9" s="61"/>
      <c r="BJ9" s="61"/>
      <c r="BK9" s="61"/>
      <c r="BL9" s="61"/>
      <c r="BM9" s="87" t="str">
        <f t="shared" si="3"/>
        <v/>
      </c>
      <c r="BN9" s="61"/>
      <c r="BO9" s="61"/>
      <c r="BP9" s="61"/>
      <c r="BQ9" s="61"/>
      <c r="BR9" s="61"/>
      <c r="BS9" s="61"/>
      <c r="BT9" s="61"/>
      <c r="BU9" s="61"/>
      <c r="BV9" s="61"/>
      <c r="BW9" s="61"/>
      <c r="BX9" s="61"/>
      <c r="BY9" s="61"/>
      <c r="BZ9" s="87" t="str">
        <f t="shared" si="4"/>
        <v/>
      </c>
      <c r="CA9"/>
      <c r="CB9" s="18"/>
    </row>
    <row r="10" spans="1:80" ht="16" x14ac:dyDescent="0.35">
      <c r="B10" s="83"/>
      <c r="C10" s="28"/>
      <c r="D10" s="34"/>
      <c r="E10" s="22"/>
      <c r="F10" s="29"/>
      <c r="G10" s="29"/>
      <c r="H10" s="6"/>
      <c r="I10" s="29"/>
      <c r="J10" s="88"/>
      <c r="K10" s="42"/>
      <c r="L10" s="42"/>
      <c r="M10" s="42"/>
      <c r="N10" s="68"/>
      <c r="O10" s="68"/>
      <c r="P10" s="68"/>
      <c r="Q10" s="68"/>
      <c r="R10" s="68"/>
      <c r="S10" s="68"/>
      <c r="T10" s="68"/>
      <c r="U10" s="68"/>
      <c r="V10" s="68"/>
      <c r="W10" s="68"/>
      <c r="X10" s="68"/>
      <c r="Y10" s="89"/>
      <c r="Z10" s="62" t="str">
        <f t="shared" si="0"/>
        <v/>
      </c>
      <c r="AA10" s="61"/>
      <c r="AB10" s="61"/>
      <c r="AC10" s="61"/>
      <c r="AD10" s="61"/>
      <c r="AE10" s="61"/>
      <c r="AF10" s="61"/>
      <c r="AG10" s="61"/>
      <c r="AH10" s="61"/>
      <c r="AI10" s="61"/>
      <c r="AJ10" s="61"/>
      <c r="AK10" s="61"/>
      <c r="AL10" s="61"/>
      <c r="AM10" s="62" t="str">
        <f t="shared" si="1"/>
        <v/>
      </c>
      <c r="AN10" s="61"/>
      <c r="AO10" s="61"/>
      <c r="AP10" s="61"/>
      <c r="AQ10" s="61"/>
      <c r="AR10" s="61"/>
      <c r="AS10" s="61"/>
      <c r="AT10" s="61"/>
      <c r="AU10" s="61"/>
      <c r="AV10" s="61"/>
      <c r="AW10" s="61"/>
      <c r="AX10" s="61"/>
      <c r="AY10" s="61"/>
      <c r="AZ10" s="87" t="str">
        <f t="shared" si="2"/>
        <v/>
      </c>
      <c r="BA10" s="61"/>
      <c r="BB10" s="61"/>
      <c r="BC10" s="61"/>
      <c r="BD10" s="61"/>
      <c r="BE10" s="61"/>
      <c r="BF10" s="61"/>
      <c r="BG10" s="61"/>
      <c r="BH10" s="61"/>
      <c r="BI10" s="61"/>
      <c r="BJ10" s="61"/>
      <c r="BK10" s="61"/>
      <c r="BL10" s="61"/>
      <c r="BM10" s="87" t="str">
        <f t="shared" si="3"/>
        <v/>
      </c>
      <c r="BN10" s="61"/>
      <c r="BO10" s="61"/>
      <c r="BP10" s="61"/>
      <c r="BQ10" s="61"/>
      <c r="BR10" s="61"/>
      <c r="BS10" s="61"/>
      <c r="BT10" s="61"/>
      <c r="BU10" s="61"/>
      <c r="BV10" s="61"/>
      <c r="BW10" s="61"/>
      <c r="BX10" s="61"/>
      <c r="BY10" s="61"/>
      <c r="BZ10" s="87" t="str">
        <f t="shared" si="4"/>
        <v/>
      </c>
      <c r="CA10"/>
      <c r="CB10" s="18"/>
    </row>
    <row r="11" spans="1:80" ht="56" x14ac:dyDescent="0.35">
      <c r="B11" s="83" t="str">
        <f>VLOOKUP(BenefitsPlanTable[[#This Row],[Benefit Category]],Lists!$E$2:$F$7,2,FALSE)</f>
        <v>OB</v>
      </c>
      <c r="C11" s="27" t="str">
        <f>CONCATENATE(B11,"01")</f>
        <v>OB01</v>
      </c>
      <c r="D11" s="22" t="s">
        <v>12</v>
      </c>
      <c r="E11" s="22"/>
      <c r="F11" s="6" t="s">
        <v>196</v>
      </c>
      <c r="G11" s="6"/>
      <c r="H11" s="6"/>
      <c r="I11" s="6"/>
      <c r="J11" s="84"/>
      <c r="K11" s="41"/>
      <c r="L11" s="41"/>
      <c r="M11" s="41"/>
      <c r="N11" s="61"/>
      <c r="O11" s="61"/>
      <c r="P11" s="61"/>
      <c r="Q11" s="61"/>
      <c r="R11" s="61"/>
      <c r="S11" s="61"/>
      <c r="T11" s="61"/>
      <c r="U11" s="61"/>
      <c r="V11" s="61"/>
      <c r="W11" s="61"/>
      <c r="X11" s="61"/>
      <c r="Y11" s="85"/>
      <c r="Z11" s="62" t="str">
        <f t="shared" si="0"/>
        <v/>
      </c>
      <c r="AA11" s="61"/>
      <c r="AB11" s="61"/>
      <c r="AC11" s="61"/>
      <c r="AD11" s="61"/>
      <c r="AE11" s="61"/>
      <c r="AF11" s="61"/>
      <c r="AG11" s="61"/>
      <c r="AH11" s="61"/>
      <c r="AI11" s="61"/>
      <c r="AJ11" s="61"/>
      <c r="AK11" s="61"/>
      <c r="AL11" s="61"/>
      <c r="AM11" s="62" t="str">
        <f t="shared" si="1"/>
        <v/>
      </c>
      <c r="AN11" s="61"/>
      <c r="AO11" s="61"/>
      <c r="AP11" s="61"/>
      <c r="AQ11" s="61"/>
      <c r="AR11" s="61"/>
      <c r="AS11" s="61"/>
      <c r="AT11" s="61"/>
      <c r="AU11" s="61"/>
      <c r="AV11" s="61"/>
      <c r="AW11" s="61"/>
      <c r="AX11" s="61"/>
      <c r="AY11" s="61"/>
      <c r="AZ11" s="87" t="str">
        <f t="shared" si="2"/>
        <v/>
      </c>
      <c r="BA11" s="61"/>
      <c r="BB11" s="61"/>
      <c r="BC11" s="61"/>
      <c r="BD11" s="61"/>
      <c r="BE11" s="61"/>
      <c r="BF11" s="61"/>
      <c r="BG11" s="61"/>
      <c r="BH11" s="61"/>
      <c r="BI11" s="61"/>
      <c r="BJ11" s="61"/>
      <c r="BK11" s="61"/>
      <c r="BL11" s="61"/>
      <c r="BM11" s="87" t="str">
        <f t="shared" si="3"/>
        <v/>
      </c>
      <c r="BN11" s="61"/>
      <c r="BO11" s="61"/>
      <c r="BP11" s="61"/>
      <c r="BQ11" s="61"/>
      <c r="BR11" s="61"/>
      <c r="BS11" s="61"/>
      <c r="BT11" s="61"/>
      <c r="BU11" s="61"/>
      <c r="BV11" s="61"/>
      <c r="BW11" s="61"/>
      <c r="BX11" s="61"/>
      <c r="BY11" s="61"/>
      <c r="BZ11" s="87" t="str">
        <f t="shared" si="4"/>
        <v/>
      </c>
      <c r="CA11"/>
      <c r="CB11" s="18"/>
    </row>
    <row r="12" spans="1:80" ht="16" x14ac:dyDescent="0.35">
      <c r="B12" s="83" t="str">
        <f>VLOOKUP(BenefitsPlanTable[[#This Row],[Benefit Category]],Lists!$E$2:$F$7,2,FALSE)</f>
        <v>OB</v>
      </c>
      <c r="C12" s="27" t="str">
        <f>CONCATENATE(B12,"01")</f>
        <v>OB01</v>
      </c>
      <c r="D12" s="22" t="s">
        <v>12</v>
      </c>
      <c r="E12" s="22"/>
      <c r="F12" s="6"/>
      <c r="G12" s="6"/>
      <c r="H12" s="6"/>
      <c r="I12" s="6"/>
      <c r="J12" s="84"/>
      <c r="K12" s="41"/>
      <c r="L12" s="41"/>
      <c r="M12" s="41"/>
      <c r="N12" s="61"/>
      <c r="O12" s="61"/>
      <c r="P12" s="61"/>
      <c r="Q12" s="61"/>
      <c r="R12" s="61"/>
      <c r="S12" s="61"/>
      <c r="T12" s="61"/>
      <c r="U12" s="61"/>
      <c r="V12" s="61"/>
      <c r="W12" s="61"/>
      <c r="X12" s="61"/>
      <c r="Y12" s="85"/>
      <c r="Z12" s="62" t="str">
        <f t="shared" si="0"/>
        <v/>
      </c>
      <c r="AA12" s="61"/>
      <c r="AB12" s="61"/>
      <c r="AC12" s="61"/>
      <c r="AD12" s="61"/>
      <c r="AE12" s="61"/>
      <c r="AF12" s="61"/>
      <c r="AG12" s="61"/>
      <c r="AH12" s="61"/>
      <c r="AI12" s="61"/>
      <c r="AJ12" s="61"/>
      <c r="AK12" s="61"/>
      <c r="AL12" s="61"/>
      <c r="AM12" s="62" t="str">
        <f t="shared" si="1"/>
        <v/>
      </c>
      <c r="AN12" s="61"/>
      <c r="AO12" s="61"/>
      <c r="AP12" s="61"/>
      <c r="AQ12" s="61"/>
      <c r="AR12" s="61"/>
      <c r="AS12" s="61"/>
      <c r="AT12" s="61"/>
      <c r="AU12" s="61"/>
      <c r="AV12" s="61"/>
      <c r="AW12" s="61"/>
      <c r="AX12" s="61"/>
      <c r="AY12" s="61"/>
      <c r="AZ12" s="87" t="str">
        <f t="shared" si="2"/>
        <v/>
      </c>
      <c r="BA12" s="61"/>
      <c r="BB12" s="61"/>
      <c r="BC12" s="61"/>
      <c r="BD12" s="61"/>
      <c r="BE12" s="61"/>
      <c r="BF12" s="61"/>
      <c r="BG12" s="61"/>
      <c r="BH12" s="61"/>
      <c r="BI12" s="61"/>
      <c r="BJ12" s="61"/>
      <c r="BK12" s="61"/>
      <c r="BL12" s="61"/>
      <c r="BM12" s="87" t="str">
        <f t="shared" si="3"/>
        <v/>
      </c>
      <c r="BN12" s="61"/>
      <c r="BO12" s="61"/>
      <c r="BP12" s="61"/>
      <c r="BQ12" s="61"/>
      <c r="BR12" s="61"/>
      <c r="BS12" s="61"/>
      <c r="BT12" s="61"/>
      <c r="BU12" s="61"/>
      <c r="BV12" s="61"/>
      <c r="BW12" s="61"/>
      <c r="BX12" s="61"/>
      <c r="BY12" s="61"/>
      <c r="BZ12" s="87" t="str">
        <f t="shared" si="4"/>
        <v/>
      </c>
      <c r="CA12"/>
      <c r="CB12" s="18"/>
    </row>
    <row r="13" spans="1:80" ht="16" x14ac:dyDescent="0.35">
      <c r="B13" s="83" t="str">
        <f>VLOOKUP(BenefitsPlanTable[[#This Row],[Benefit Category]],Lists!$E$2:$F$7,2,FALSE)</f>
        <v>OB</v>
      </c>
      <c r="C13" s="27" t="str">
        <f>CONCATENATE(B13,"01")</f>
        <v>OB01</v>
      </c>
      <c r="D13" s="22" t="s">
        <v>12</v>
      </c>
      <c r="E13" s="22"/>
      <c r="F13" s="6"/>
      <c r="G13" s="6"/>
      <c r="H13" s="6"/>
      <c r="I13" s="6"/>
      <c r="J13" s="84"/>
      <c r="K13" s="41"/>
      <c r="L13" s="41"/>
      <c r="M13" s="41"/>
      <c r="N13" s="61"/>
      <c r="O13" s="61"/>
      <c r="P13" s="61"/>
      <c r="Q13" s="61"/>
      <c r="R13" s="61"/>
      <c r="S13" s="61"/>
      <c r="T13" s="61"/>
      <c r="U13" s="61"/>
      <c r="V13" s="61"/>
      <c r="W13" s="61"/>
      <c r="X13" s="61"/>
      <c r="Y13" s="85"/>
      <c r="Z13" s="62" t="str">
        <f t="shared" si="0"/>
        <v/>
      </c>
      <c r="AA13" s="61"/>
      <c r="AB13" s="61"/>
      <c r="AC13" s="61"/>
      <c r="AD13" s="61"/>
      <c r="AE13" s="61"/>
      <c r="AF13" s="61"/>
      <c r="AG13" s="61"/>
      <c r="AH13" s="61"/>
      <c r="AI13" s="61"/>
      <c r="AJ13" s="61"/>
      <c r="AK13" s="61"/>
      <c r="AL13" s="61"/>
      <c r="AM13" s="62" t="str">
        <f t="shared" si="1"/>
        <v/>
      </c>
      <c r="AN13" s="61"/>
      <c r="AO13" s="61"/>
      <c r="AP13" s="61"/>
      <c r="AQ13" s="61"/>
      <c r="AR13" s="61"/>
      <c r="AS13" s="61"/>
      <c r="AT13" s="61"/>
      <c r="AU13" s="61"/>
      <c r="AV13" s="61"/>
      <c r="AW13" s="61"/>
      <c r="AX13" s="61"/>
      <c r="AY13" s="61"/>
      <c r="AZ13" s="87" t="str">
        <f t="shared" si="2"/>
        <v/>
      </c>
      <c r="BA13" s="61"/>
      <c r="BB13" s="61"/>
      <c r="BC13" s="61"/>
      <c r="BD13" s="61"/>
      <c r="BE13" s="61"/>
      <c r="BF13" s="61"/>
      <c r="BG13" s="61"/>
      <c r="BH13" s="61"/>
      <c r="BI13" s="61"/>
      <c r="BJ13" s="61"/>
      <c r="BK13" s="61"/>
      <c r="BL13" s="61"/>
      <c r="BM13" s="87" t="str">
        <f t="shared" si="3"/>
        <v/>
      </c>
      <c r="BN13" s="61"/>
      <c r="BO13" s="61"/>
      <c r="BP13" s="61"/>
      <c r="BQ13" s="61"/>
      <c r="BR13" s="61"/>
      <c r="BS13" s="61"/>
      <c r="BT13" s="61"/>
      <c r="BU13" s="61"/>
      <c r="BV13" s="61"/>
      <c r="BW13" s="61"/>
      <c r="BX13" s="61"/>
      <c r="BY13" s="61"/>
      <c r="BZ13" s="87" t="str">
        <f t="shared" si="4"/>
        <v/>
      </c>
      <c r="CA13"/>
      <c r="CB13" s="18"/>
    </row>
    <row r="14" spans="1:80" ht="16" x14ac:dyDescent="0.35">
      <c r="B14" s="83"/>
      <c r="C14" s="28"/>
      <c r="D14" s="34"/>
      <c r="E14" s="22"/>
      <c r="F14" s="29"/>
      <c r="G14" s="29"/>
      <c r="H14" s="6"/>
      <c r="I14" s="29"/>
      <c r="J14" s="88"/>
      <c r="K14" s="42"/>
      <c r="L14" s="42"/>
      <c r="M14" s="42"/>
      <c r="N14" s="68"/>
      <c r="O14" s="68"/>
      <c r="P14" s="68"/>
      <c r="Q14" s="68"/>
      <c r="R14" s="68"/>
      <c r="S14" s="68"/>
      <c r="T14" s="68"/>
      <c r="U14" s="68"/>
      <c r="V14" s="68"/>
      <c r="W14" s="68"/>
      <c r="X14" s="68"/>
      <c r="Y14" s="89"/>
      <c r="Z14" s="62" t="str">
        <f t="shared" si="0"/>
        <v/>
      </c>
      <c r="AA14" s="61"/>
      <c r="AB14" s="61"/>
      <c r="AC14" s="61"/>
      <c r="AD14" s="61"/>
      <c r="AE14" s="61"/>
      <c r="AF14" s="61"/>
      <c r="AG14" s="61"/>
      <c r="AH14" s="61"/>
      <c r="AI14" s="61"/>
      <c r="AJ14" s="61"/>
      <c r="AK14" s="61"/>
      <c r="AL14" s="61"/>
      <c r="AM14" s="62" t="str">
        <f t="shared" si="1"/>
        <v/>
      </c>
      <c r="AN14" s="61"/>
      <c r="AO14" s="61"/>
      <c r="AP14" s="61"/>
      <c r="AQ14" s="61"/>
      <c r="AR14" s="61"/>
      <c r="AS14" s="61"/>
      <c r="AT14" s="61"/>
      <c r="AU14" s="61"/>
      <c r="AV14" s="61"/>
      <c r="AW14" s="61"/>
      <c r="AX14" s="61"/>
      <c r="AY14" s="61"/>
      <c r="AZ14" s="87" t="str">
        <f t="shared" si="2"/>
        <v/>
      </c>
      <c r="BA14" s="61"/>
      <c r="BB14" s="61"/>
      <c r="BC14" s="61"/>
      <c r="BD14" s="61"/>
      <c r="BE14" s="61"/>
      <c r="BF14" s="61"/>
      <c r="BG14" s="61"/>
      <c r="BH14" s="61"/>
      <c r="BI14" s="61"/>
      <c r="BJ14" s="61"/>
      <c r="BK14" s="61"/>
      <c r="BL14" s="61"/>
      <c r="BM14" s="87" t="str">
        <f t="shared" si="3"/>
        <v/>
      </c>
      <c r="BN14" s="61"/>
      <c r="BO14" s="61"/>
      <c r="BP14" s="61"/>
      <c r="BQ14" s="61"/>
      <c r="BR14" s="61"/>
      <c r="BS14" s="61"/>
      <c r="BT14" s="61"/>
      <c r="BU14" s="61"/>
      <c r="BV14" s="61"/>
      <c r="BW14" s="61"/>
      <c r="BX14" s="61"/>
      <c r="BY14" s="61"/>
      <c r="BZ14" s="87" t="str">
        <f t="shared" si="4"/>
        <v/>
      </c>
      <c r="CA14"/>
      <c r="CB14" s="18"/>
    </row>
    <row r="15" spans="1:80" ht="70" x14ac:dyDescent="0.35">
      <c r="B15" s="83" t="str">
        <f>VLOOKUP(BenefitsPlanTable[[#This Row],[Benefit Category]],Lists!$E$2:$F$7,2,FALSE)</f>
        <v>HI</v>
      </c>
      <c r="C15" s="82" t="str">
        <f>CONCATENATE(B15,"01")</f>
        <v>HI01</v>
      </c>
      <c r="D15" s="22" t="s">
        <v>17</v>
      </c>
      <c r="E15" s="22"/>
      <c r="F15" s="30" t="s">
        <v>369</v>
      </c>
      <c r="G15" s="52"/>
      <c r="H15" s="6"/>
      <c r="I15" s="6"/>
      <c r="J15" s="90"/>
      <c r="K15" s="41"/>
      <c r="L15" s="41"/>
      <c r="M15" s="41"/>
      <c r="N15" s="91"/>
      <c r="O15" s="61"/>
      <c r="P15" s="61"/>
      <c r="Q15" s="61"/>
      <c r="R15" s="61"/>
      <c r="S15" s="61"/>
      <c r="T15" s="61"/>
      <c r="U15" s="61"/>
      <c r="V15" s="61"/>
      <c r="W15" s="61"/>
      <c r="X15" s="61"/>
      <c r="Y15" s="85"/>
      <c r="Z15" s="62" t="str">
        <f t="shared" ref="Z15:Z18" si="5">IF(COUNTA(N15:Y15)=0,"",SUM(N15:Y15))</f>
        <v/>
      </c>
      <c r="AA15" s="61"/>
      <c r="AB15" s="61"/>
      <c r="AC15" s="61"/>
      <c r="AD15" s="61"/>
      <c r="AE15" s="61"/>
      <c r="AF15" s="61"/>
      <c r="AG15" s="61"/>
      <c r="AH15" s="61"/>
      <c r="AI15" s="61"/>
      <c r="AJ15" s="61"/>
      <c r="AK15" s="61"/>
      <c r="AL15" s="61"/>
      <c r="AM15" s="62" t="str">
        <f t="shared" ref="AM15:AM18" si="6">IF(COUNTA(AA15:AL15)=0,"",SUM(AA15:AL15))</f>
        <v/>
      </c>
      <c r="AN15" s="61"/>
      <c r="AO15" s="61"/>
      <c r="AP15" s="61"/>
      <c r="AQ15" s="61"/>
      <c r="AR15" s="61"/>
      <c r="AS15" s="61"/>
      <c r="AT15" s="61"/>
      <c r="AU15" s="61"/>
      <c r="AV15" s="61"/>
      <c r="AW15" s="61"/>
      <c r="AX15" s="61"/>
      <c r="AY15" s="61"/>
      <c r="AZ15" s="62" t="str">
        <f t="shared" ref="AZ15:AZ18" si="7">IF(COUNTA(AN15:AY15)=0,"",SUM(AN15:AY15))</f>
        <v/>
      </c>
      <c r="BA15" s="61"/>
      <c r="BB15" s="61"/>
      <c r="BC15" s="61"/>
      <c r="BD15" s="61"/>
      <c r="BE15" s="61"/>
      <c r="BF15" s="61"/>
      <c r="BG15" s="61"/>
      <c r="BH15" s="61"/>
      <c r="BI15" s="61"/>
      <c r="BJ15" s="61"/>
      <c r="BK15" s="61"/>
      <c r="BL15" s="61"/>
      <c r="BM15" s="62" t="str">
        <f t="shared" ref="BM15:BM18" si="8">IF(COUNTA(BA15:BL15)=0,"",SUM(BA15:BL15))</f>
        <v/>
      </c>
      <c r="BN15" s="61"/>
      <c r="BO15" s="61"/>
      <c r="BP15" s="61"/>
      <c r="BQ15" s="61"/>
      <c r="BR15" s="61"/>
      <c r="BS15" s="61"/>
      <c r="BT15" s="61"/>
      <c r="BU15" s="61"/>
      <c r="BV15" s="61"/>
      <c r="BW15" s="61"/>
      <c r="BX15" s="61"/>
      <c r="BY15" s="61"/>
      <c r="BZ15" s="62" t="str">
        <f t="shared" ref="BZ15:BZ18" si="9">IF(COUNTA(BN15:BY15)=0,"",SUM(BN15:BY15))</f>
        <v/>
      </c>
      <c r="CA15"/>
      <c r="CB15" s="18"/>
    </row>
    <row r="16" spans="1:80" ht="28" x14ac:dyDescent="0.35">
      <c r="B16" s="83" t="str">
        <f>VLOOKUP(BenefitsPlanTable[[#This Row],[Benefit Category]],Lists!$E$2:$F$7,2,FALSE)</f>
        <v>HI</v>
      </c>
      <c r="C16" s="82" t="str">
        <f>CONCATENATE(B16,"02")</f>
        <v>HI02</v>
      </c>
      <c r="D16" s="22" t="s">
        <v>17</v>
      </c>
      <c r="E16" s="22"/>
      <c r="F16" s="30"/>
      <c r="G16" s="52"/>
      <c r="H16" s="6"/>
      <c r="I16" s="6"/>
      <c r="J16" s="90"/>
      <c r="K16" s="41"/>
      <c r="L16" s="41"/>
      <c r="M16" s="41"/>
      <c r="N16" s="91"/>
      <c r="O16" s="61"/>
      <c r="P16" s="61"/>
      <c r="Q16" s="61"/>
      <c r="R16" s="61"/>
      <c r="S16" s="61"/>
      <c r="T16" s="61"/>
      <c r="U16" s="61"/>
      <c r="V16" s="61"/>
      <c r="W16" s="61"/>
      <c r="X16" s="61"/>
      <c r="Y16" s="85"/>
      <c r="Z16" s="62" t="str">
        <f t="shared" si="5"/>
        <v/>
      </c>
      <c r="AA16" s="61"/>
      <c r="AB16" s="61"/>
      <c r="AC16" s="61"/>
      <c r="AD16" s="61"/>
      <c r="AE16" s="61"/>
      <c r="AF16" s="61"/>
      <c r="AG16" s="61"/>
      <c r="AH16" s="61"/>
      <c r="AI16" s="61"/>
      <c r="AJ16" s="61"/>
      <c r="AK16" s="61"/>
      <c r="AL16" s="61"/>
      <c r="AM16" s="62" t="str">
        <f t="shared" si="6"/>
        <v/>
      </c>
      <c r="AN16" s="61"/>
      <c r="AO16" s="61"/>
      <c r="AP16" s="61"/>
      <c r="AQ16" s="61"/>
      <c r="AR16" s="61"/>
      <c r="AS16" s="61"/>
      <c r="AT16" s="61"/>
      <c r="AU16" s="61"/>
      <c r="AV16" s="61"/>
      <c r="AW16" s="61"/>
      <c r="AX16" s="61"/>
      <c r="AY16" s="61"/>
      <c r="AZ16" s="62" t="str">
        <f t="shared" si="7"/>
        <v/>
      </c>
      <c r="BA16" s="61"/>
      <c r="BB16" s="61"/>
      <c r="BC16" s="61"/>
      <c r="BD16" s="61"/>
      <c r="BE16" s="61"/>
      <c r="BF16" s="61"/>
      <c r="BG16" s="61"/>
      <c r="BH16" s="61"/>
      <c r="BI16" s="61"/>
      <c r="BJ16" s="61"/>
      <c r="BK16" s="61"/>
      <c r="BL16" s="61"/>
      <c r="BM16" s="62" t="str">
        <f t="shared" si="8"/>
        <v/>
      </c>
      <c r="BN16" s="61"/>
      <c r="BO16" s="61"/>
      <c r="BP16" s="61"/>
      <c r="BQ16" s="61"/>
      <c r="BR16" s="61"/>
      <c r="BS16" s="61"/>
      <c r="BT16" s="61"/>
      <c r="BU16" s="61"/>
      <c r="BV16" s="61"/>
      <c r="BW16" s="61"/>
      <c r="BX16" s="61"/>
      <c r="BY16" s="61"/>
      <c r="BZ16" s="62" t="str">
        <f t="shared" si="9"/>
        <v/>
      </c>
      <c r="CA16"/>
      <c r="CB16" s="18"/>
    </row>
    <row r="17" spans="2:80" ht="28" x14ac:dyDescent="0.35">
      <c r="B17" s="83" t="str">
        <f>VLOOKUP(BenefitsPlanTable[[#This Row],[Benefit Category]],Lists!$E$2:$F$7,2,FALSE)</f>
        <v>HI</v>
      </c>
      <c r="C17" s="82" t="str">
        <f>CONCATENATE(B17,"03")</f>
        <v>HI03</v>
      </c>
      <c r="D17" s="22" t="s">
        <v>17</v>
      </c>
      <c r="E17" s="22"/>
      <c r="F17" s="33"/>
      <c r="G17" s="52"/>
      <c r="H17" s="6"/>
      <c r="I17" s="6"/>
      <c r="J17" s="90"/>
      <c r="K17" s="41"/>
      <c r="L17" s="41"/>
      <c r="M17" s="41"/>
      <c r="N17" s="91"/>
      <c r="O17" s="61"/>
      <c r="P17" s="61"/>
      <c r="Q17" s="61"/>
      <c r="R17" s="61"/>
      <c r="S17" s="61"/>
      <c r="T17" s="61"/>
      <c r="U17" s="61"/>
      <c r="V17" s="61"/>
      <c r="W17" s="61"/>
      <c r="X17" s="61"/>
      <c r="Y17" s="85"/>
      <c r="Z17" s="62" t="str">
        <f t="shared" si="5"/>
        <v/>
      </c>
      <c r="AA17" s="61"/>
      <c r="AB17" s="61"/>
      <c r="AC17" s="61"/>
      <c r="AD17" s="61"/>
      <c r="AE17" s="61"/>
      <c r="AF17" s="61"/>
      <c r="AG17" s="61"/>
      <c r="AH17" s="61"/>
      <c r="AI17" s="61"/>
      <c r="AJ17" s="61"/>
      <c r="AK17" s="61"/>
      <c r="AL17" s="61"/>
      <c r="AM17" s="62" t="str">
        <f t="shared" si="6"/>
        <v/>
      </c>
      <c r="AN17" s="61"/>
      <c r="AO17" s="61"/>
      <c r="AP17" s="61"/>
      <c r="AQ17" s="61"/>
      <c r="AR17" s="61"/>
      <c r="AS17" s="61"/>
      <c r="AT17" s="61"/>
      <c r="AU17" s="61"/>
      <c r="AV17" s="61"/>
      <c r="AW17" s="61"/>
      <c r="AX17" s="61"/>
      <c r="AY17" s="61"/>
      <c r="AZ17" s="62" t="str">
        <f t="shared" si="7"/>
        <v/>
      </c>
      <c r="BA17" s="61"/>
      <c r="BB17" s="61"/>
      <c r="BC17" s="61"/>
      <c r="BD17" s="61"/>
      <c r="BE17" s="61"/>
      <c r="BF17" s="61"/>
      <c r="BG17" s="61"/>
      <c r="BH17" s="61"/>
      <c r="BI17" s="61"/>
      <c r="BJ17" s="61"/>
      <c r="BK17" s="61"/>
      <c r="BL17" s="61"/>
      <c r="BM17" s="62" t="str">
        <f t="shared" si="8"/>
        <v/>
      </c>
      <c r="BN17" s="61"/>
      <c r="BO17" s="61"/>
      <c r="BP17" s="61"/>
      <c r="BQ17" s="61"/>
      <c r="BR17" s="61"/>
      <c r="BS17" s="61"/>
      <c r="BT17" s="61"/>
      <c r="BU17" s="61"/>
      <c r="BV17" s="61"/>
      <c r="BW17" s="61"/>
      <c r="BX17" s="61"/>
      <c r="BY17" s="61"/>
      <c r="BZ17" s="62" t="str">
        <f t="shared" si="9"/>
        <v/>
      </c>
      <c r="CA17"/>
      <c r="CB17" s="18"/>
    </row>
    <row r="18" spans="2:80" ht="16" x14ac:dyDescent="0.35">
      <c r="B18" s="83"/>
      <c r="C18" s="27"/>
      <c r="D18" s="22"/>
      <c r="E18" s="22"/>
      <c r="F18" s="30"/>
      <c r="G18" s="52"/>
      <c r="H18" s="6"/>
      <c r="I18" s="6"/>
      <c r="J18" s="90"/>
      <c r="K18" s="41"/>
      <c r="L18" s="41"/>
      <c r="M18" s="41"/>
      <c r="N18" s="91"/>
      <c r="O18" s="61"/>
      <c r="P18" s="61"/>
      <c r="Q18" s="61"/>
      <c r="R18" s="61"/>
      <c r="S18" s="61"/>
      <c r="T18" s="61"/>
      <c r="U18" s="61"/>
      <c r="V18" s="61"/>
      <c r="W18" s="61"/>
      <c r="X18" s="61"/>
      <c r="Y18" s="85"/>
      <c r="Z18" s="62" t="str">
        <f t="shared" si="5"/>
        <v/>
      </c>
      <c r="AA18" s="61"/>
      <c r="AB18" s="61"/>
      <c r="AC18" s="61"/>
      <c r="AD18" s="61"/>
      <c r="AE18" s="61"/>
      <c r="AF18" s="61"/>
      <c r="AG18" s="61"/>
      <c r="AH18" s="61"/>
      <c r="AI18" s="61"/>
      <c r="AJ18" s="61"/>
      <c r="AK18" s="61"/>
      <c r="AL18" s="61"/>
      <c r="AM18" s="62" t="str">
        <f t="shared" si="6"/>
        <v/>
      </c>
      <c r="AN18" s="61"/>
      <c r="AO18" s="61"/>
      <c r="AP18" s="61"/>
      <c r="AQ18" s="61"/>
      <c r="AR18" s="61"/>
      <c r="AS18" s="61"/>
      <c r="AT18" s="61"/>
      <c r="AU18" s="61"/>
      <c r="AV18" s="61"/>
      <c r="AW18" s="61"/>
      <c r="AX18" s="61"/>
      <c r="AY18" s="61"/>
      <c r="AZ18" s="62" t="str">
        <f t="shared" si="7"/>
        <v/>
      </c>
      <c r="BA18" s="61"/>
      <c r="BB18" s="61"/>
      <c r="BC18" s="61"/>
      <c r="BD18" s="61"/>
      <c r="BE18" s="61"/>
      <c r="BF18" s="61"/>
      <c r="BG18" s="61"/>
      <c r="BH18" s="61"/>
      <c r="BI18" s="61"/>
      <c r="BJ18" s="61"/>
      <c r="BK18" s="61"/>
      <c r="BL18" s="61"/>
      <c r="BM18" s="62" t="str">
        <f t="shared" si="8"/>
        <v/>
      </c>
      <c r="BN18" s="61"/>
      <c r="BO18" s="61"/>
      <c r="BP18" s="61"/>
      <c r="BQ18" s="61"/>
      <c r="BR18" s="61"/>
      <c r="BS18" s="61"/>
      <c r="BT18" s="61"/>
      <c r="BU18" s="61"/>
      <c r="BV18" s="61"/>
      <c r="BW18" s="61"/>
      <c r="BX18" s="61"/>
      <c r="BY18" s="61"/>
      <c r="BZ18" s="62" t="str">
        <f t="shared" si="9"/>
        <v/>
      </c>
      <c r="CA18"/>
      <c r="CB18" s="18"/>
    </row>
    <row r="19" spans="2:80" ht="102" customHeight="1" x14ac:dyDescent="0.35">
      <c r="B19" s="83" t="str">
        <f>VLOOKUP(BenefitsPlanTable[[#This Row],[Benefit Category]],Lists!$E$2:$F$7,2,FALSE)</f>
        <v>AB</v>
      </c>
      <c r="C19" s="27" t="str">
        <f>CONCATENATE(B19,"01")</f>
        <v>AB01</v>
      </c>
      <c r="D19" s="22" t="s">
        <v>22</v>
      </c>
      <c r="E19" s="22"/>
      <c r="F19" s="6" t="s">
        <v>197</v>
      </c>
      <c r="G19" s="6"/>
      <c r="H19" s="6"/>
      <c r="I19" s="6"/>
      <c r="J19" s="84"/>
      <c r="K19" s="41"/>
      <c r="L19" s="41"/>
      <c r="M19" s="41"/>
      <c r="N19" s="61"/>
      <c r="O19" s="61"/>
      <c r="P19" s="61"/>
      <c r="Q19" s="61"/>
      <c r="R19" s="61"/>
      <c r="S19" s="61"/>
      <c r="T19" s="61"/>
      <c r="U19" s="61"/>
      <c r="V19" s="61"/>
      <c r="W19" s="61"/>
      <c r="X19" s="61"/>
      <c r="Y19" s="85"/>
      <c r="Z19" s="62" t="str">
        <f t="shared" si="0"/>
        <v/>
      </c>
      <c r="AA19" s="61"/>
      <c r="AB19" s="61"/>
      <c r="AC19" s="61"/>
      <c r="AD19" s="61"/>
      <c r="AE19" s="61"/>
      <c r="AF19" s="61"/>
      <c r="AG19" s="61"/>
      <c r="AH19" s="61"/>
      <c r="AI19" s="61"/>
      <c r="AJ19" s="61"/>
      <c r="AK19" s="61"/>
      <c r="AL19" s="61"/>
      <c r="AM19" s="62" t="str">
        <f t="shared" si="1"/>
        <v/>
      </c>
      <c r="AN19" s="61"/>
      <c r="AO19" s="61"/>
      <c r="AP19" s="61"/>
      <c r="AQ19" s="61"/>
      <c r="AR19" s="61"/>
      <c r="AS19" s="61"/>
      <c r="AT19" s="61"/>
      <c r="AU19" s="61"/>
      <c r="AV19" s="61"/>
      <c r="AW19" s="61"/>
      <c r="AX19" s="61"/>
      <c r="AY19" s="61"/>
      <c r="AZ19" s="87" t="str">
        <f t="shared" si="2"/>
        <v/>
      </c>
      <c r="BA19" s="61"/>
      <c r="BB19" s="61"/>
      <c r="BC19" s="61"/>
      <c r="BD19" s="61"/>
      <c r="BE19" s="61"/>
      <c r="BF19" s="61"/>
      <c r="BG19" s="61"/>
      <c r="BH19" s="61"/>
      <c r="BI19" s="61"/>
      <c r="BJ19" s="61"/>
      <c r="BK19" s="61"/>
      <c r="BL19" s="61"/>
      <c r="BM19" s="87" t="str">
        <f t="shared" si="3"/>
        <v/>
      </c>
      <c r="BN19" s="61"/>
      <c r="BO19" s="61"/>
      <c r="BP19" s="61"/>
      <c r="BQ19" s="61"/>
      <c r="BR19" s="61"/>
      <c r="BS19" s="61"/>
      <c r="BT19" s="61"/>
      <c r="BU19" s="61"/>
      <c r="BV19" s="61"/>
      <c r="BW19" s="61"/>
      <c r="BX19" s="61"/>
      <c r="BY19" s="61"/>
      <c r="BZ19" s="87" t="str">
        <f t="shared" si="4"/>
        <v/>
      </c>
      <c r="CA19"/>
      <c r="CB19" s="18"/>
    </row>
    <row r="20" spans="2:80" ht="16" x14ac:dyDescent="0.35">
      <c r="B20" s="83" t="str">
        <f>VLOOKUP(BenefitsPlanTable[[#This Row],[Benefit Category]],Lists!$E$2:$F$7,2,FALSE)</f>
        <v>AB</v>
      </c>
      <c r="C20" s="27" t="str">
        <f>CONCATENATE(B20,"02")</f>
        <v>AB02</v>
      </c>
      <c r="D20" s="22" t="s">
        <v>22</v>
      </c>
      <c r="E20" s="22"/>
      <c r="F20" s="6"/>
      <c r="G20" s="6"/>
      <c r="H20" s="6"/>
      <c r="I20" s="6"/>
      <c r="J20" s="84"/>
      <c r="K20" s="41"/>
      <c r="L20" s="41"/>
      <c r="M20" s="41"/>
      <c r="N20" s="61"/>
      <c r="O20" s="61"/>
      <c r="P20" s="61"/>
      <c r="Q20" s="61"/>
      <c r="R20" s="61"/>
      <c r="S20" s="61"/>
      <c r="T20" s="61"/>
      <c r="U20" s="61"/>
      <c r="V20" s="61"/>
      <c r="W20" s="61"/>
      <c r="X20" s="61"/>
      <c r="Y20" s="85"/>
      <c r="Z20" s="62" t="str">
        <f t="shared" si="0"/>
        <v/>
      </c>
      <c r="AA20" s="61"/>
      <c r="AB20" s="61"/>
      <c r="AC20" s="61"/>
      <c r="AD20" s="61"/>
      <c r="AE20" s="61"/>
      <c r="AF20" s="61"/>
      <c r="AG20" s="61"/>
      <c r="AH20" s="61"/>
      <c r="AI20" s="61"/>
      <c r="AJ20" s="61"/>
      <c r="AK20" s="61"/>
      <c r="AL20" s="61"/>
      <c r="AM20" s="62" t="str">
        <f t="shared" si="1"/>
        <v/>
      </c>
      <c r="AN20" s="61"/>
      <c r="AO20" s="61"/>
      <c r="AP20" s="61"/>
      <c r="AQ20" s="61"/>
      <c r="AR20" s="61"/>
      <c r="AS20" s="61"/>
      <c r="AT20" s="61"/>
      <c r="AU20" s="61"/>
      <c r="AV20" s="61"/>
      <c r="AW20" s="61"/>
      <c r="AX20" s="61"/>
      <c r="AY20" s="61"/>
      <c r="AZ20" s="87" t="str">
        <f t="shared" si="2"/>
        <v/>
      </c>
      <c r="BA20" s="61"/>
      <c r="BB20" s="61"/>
      <c r="BC20" s="61"/>
      <c r="BD20" s="61"/>
      <c r="BE20" s="61"/>
      <c r="BF20" s="61"/>
      <c r="BG20" s="61"/>
      <c r="BH20" s="61"/>
      <c r="BI20" s="61"/>
      <c r="BJ20" s="61"/>
      <c r="BK20" s="61"/>
      <c r="BL20" s="61"/>
      <c r="BM20" s="87" t="str">
        <f t="shared" si="3"/>
        <v/>
      </c>
      <c r="BN20" s="61"/>
      <c r="BO20" s="61"/>
      <c r="BP20" s="61"/>
      <c r="BQ20" s="61"/>
      <c r="BR20" s="61"/>
      <c r="BS20" s="61"/>
      <c r="BT20" s="61"/>
      <c r="BU20" s="61"/>
      <c r="BV20" s="61"/>
      <c r="BW20" s="61"/>
      <c r="BX20" s="61"/>
      <c r="BY20" s="61"/>
      <c r="BZ20" s="87" t="str">
        <f t="shared" si="4"/>
        <v/>
      </c>
      <c r="CA20"/>
      <c r="CB20" s="18"/>
    </row>
    <row r="21" spans="2:80" ht="16" x14ac:dyDescent="0.35">
      <c r="B21" s="83" t="str">
        <f>VLOOKUP(BenefitsPlanTable[[#This Row],[Benefit Category]],Lists!$E$2:$F$7,2,FALSE)</f>
        <v>AB</v>
      </c>
      <c r="C21" s="27" t="str">
        <f>CONCATENATE(B21,"03")</f>
        <v>AB03</v>
      </c>
      <c r="D21" s="22" t="s">
        <v>22</v>
      </c>
      <c r="E21" s="22"/>
      <c r="F21" s="6"/>
      <c r="G21" s="6"/>
      <c r="H21" s="6"/>
      <c r="I21" s="6"/>
      <c r="J21" s="84"/>
      <c r="K21" s="41"/>
      <c r="L21" s="41"/>
      <c r="M21" s="41"/>
      <c r="N21" s="61"/>
      <c r="O21" s="61"/>
      <c r="P21" s="61"/>
      <c r="Q21" s="61"/>
      <c r="R21" s="61"/>
      <c r="S21" s="61"/>
      <c r="T21" s="61"/>
      <c r="U21" s="61"/>
      <c r="V21" s="61"/>
      <c r="W21" s="61"/>
      <c r="X21" s="61"/>
      <c r="Y21" s="85"/>
      <c r="Z21" s="62" t="str">
        <f t="shared" si="0"/>
        <v/>
      </c>
      <c r="AA21" s="61"/>
      <c r="AB21" s="61"/>
      <c r="AC21" s="61"/>
      <c r="AD21" s="61"/>
      <c r="AE21" s="61"/>
      <c r="AF21" s="61"/>
      <c r="AG21" s="61"/>
      <c r="AH21" s="61"/>
      <c r="AI21" s="61"/>
      <c r="AJ21" s="61"/>
      <c r="AK21" s="61"/>
      <c r="AL21" s="61"/>
      <c r="AM21" s="62" t="str">
        <f t="shared" si="1"/>
        <v/>
      </c>
      <c r="AN21" s="61"/>
      <c r="AO21" s="61"/>
      <c r="AP21" s="61"/>
      <c r="AQ21" s="61"/>
      <c r="AR21" s="61"/>
      <c r="AS21" s="61"/>
      <c r="AT21" s="61"/>
      <c r="AU21" s="61"/>
      <c r="AV21" s="61"/>
      <c r="AW21" s="61"/>
      <c r="AX21" s="61"/>
      <c r="AY21" s="61"/>
      <c r="AZ21" s="87" t="str">
        <f t="shared" si="2"/>
        <v/>
      </c>
      <c r="BA21" s="61"/>
      <c r="BB21" s="61"/>
      <c r="BC21" s="61"/>
      <c r="BD21" s="61"/>
      <c r="BE21" s="61"/>
      <c r="BF21" s="61"/>
      <c r="BG21" s="61"/>
      <c r="BH21" s="61"/>
      <c r="BI21" s="61"/>
      <c r="BJ21" s="61"/>
      <c r="BK21" s="61"/>
      <c r="BL21" s="61"/>
      <c r="BM21" s="87" t="str">
        <f t="shared" si="3"/>
        <v/>
      </c>
      <c r="BN21" s="61"/>
      <c r="BO21" s="61"/>
      <c r="BP21" s="61"/>
      <c r="BQ21" s="61"/>
      <c r="BR21" s="61"/>
      <c r="BS21" s="61"/>
      <c r="BT21" s="61"/>
      <c r="BU21" s="61"/>
      <c r="BV21" s="61"/>
      <c r="BW21" s="61"/>
      <c r="BX21" s="61"/>
      <c r="BY21" s="61"/>
      <c r="BZ21" s="87" t="str">
        <f t="shared" si="4"/>
        <v/>
      </c>
      <c r="CA21"/>
      <c r="CB21" s="18"/>
    </row>
    <row r="22" spans="2:80" ht="16" x14ac:dyDescent="0.35">
      <c r="B22" s="83"/>
      <c r="C22" s="27"/>
      <c r="D22" s="22"/>
      <c r="E22" s="22"/>
      <c r="F22" s="6"/>
      <c r="G22" s="6"/>
      <c r="H22" s="6"/>
      <c r="I22" s="6"/>
      <c r="J22" s="84"/>
      <c r="K22" s="41"/>
      <c r="L22" s="41"/>
      <c r="M22" s="41"/>
      <c r="N22" s="61"/>
      <c r="O22" s="61"/>
      <c r="P22" s="61"/>
      <c r="Q22" s="61"/>
      <c r="R22" s="61"/>
      <c r="S22" s="61"/>
      <c r="T22" s="61"/>
      <c r="U22" s="61"/>
      <c r="V22" s="61"/>
      <c r="W22" s="61"/>
      <c r="X22" s="61"/>
      <c r="Y22" s="85"/>
      <c r="Z22" s="62" t="str">
        <f t="shared" si="0"/>
        <v/>
      </c>
      <c r="AA22" s="61"/>
      <c r="AB22" s="61"/>
      <c r="AC22" s="61"/>
      <c r="AD22" s="61"/>
      <c r="AE22" s="61"/>
      <c r="AF22" s="61"/>
      <c r="AG22" s="61"/>
      <c r="AH22" s="61"/>
      <c r="AI22" s="61"/>
      <c r="AJ22" s="61"/>
      <c r="AK22" s="61"/>
      <c r="AL22" s="61"/>
      <c r="AM22" s="62" t="str">
        <f t="shared" si="1"/>
        <v/>
      </c>
      <c r="AN22" s="61"/>
      <c r="AO22" s="61"/>
      <c r="AP22" s="61"/>
      <c r="AQ22" s="61"/>
      <c r="AR22" s="61"/>
      <c r="AS22" s="61"/>
      <c r="AT22" s="61"/>
      <c r="AU22" s="61"/>
      <c r="AV22" s="61"/>
      <c r="AW22" s="61"/>
      <c r="AX22" s="61"/>
      <c r="AY22" s="61"/>
      <c r="AZ22" s="87" t="str">
        <f t="shared" si="2"/>
        <v/>
      </c>
      <c r="BA22" s="61"/>
      <c r="BB22" s="61"/>
      <c r="BC22" s="61"/>
      <c r="BD22" s="61"/>
      <c r="BE22" s="61"/>
      <c r="BF22" s="61"/>
      <c r="BG22" s="61"/>
      <c r="BH22" s="61"/>
      <c r="BI22" s="61"/>
      <c r="BJ22" s="61"/>
      <c r="BK22" s="61"/>
      <c r="BL22" s="61"/>
      <c r="BM22" s="87" t="str">
        <f t="shared" si="3"/>
        <v/>
      </c>
      <c r="BN22" s="61"/>
      <c r="BO22" s="61"/>
      <c r="BP22" s="61"/>
      <c r="BQ22" s="61"/>
      <c r="BR22" s="61"/>
      <c r="BS22" s="61"/>
      <c r="BT22" s="61"/>
      <c r="BU22" s="61"/>
      <c r="BV22" s="61"/>
      <c r="BW22" s="61"/>
      <c r="BX22" s="61"/>
      <c r="BY22" s="61"/>
      <c r="BZ22" s="87" t="str">
        <f t="shared" si="4"/>
        <v/>
      </c>
      <c r="CA22"/>
      <c r="CB22" s="18"/>
    </row>
    <row r="23" spans="2:80" ht="84" x14ac:dyDescent="0.35">
      <c r="B23" s="83" t="str">
        <f>VLOOKUP(BenefitsPlanTable[[#This Row],[Benefit Category]],Lists!$E$2:$F$7,2,FALSE)</f>
        <v>CB</v>
      </c>
      <c r="C23" s="27" t="str">
        <f>CONCATENATE(B23,"01")</f>
        <v>CB01</v>
      </c>
      <c r="D23" s="22" t="s">
        <v>25</v>
      </c>
      <c r="E23" s="22"/>
      <c r="F23" s="6" t="s">
        <v>373</v>
      </c>
      <c r="G23" s="6"/>
      <c r="H23" s="6"/>
      <c r="I23" s="6"/>
      <c r="J23" s="84"/>
      <c r="K23" s="41"/>
      <c r="L23" s="41"/>
      <c r="M23" s="41"/>
      <c r="N23" s="61"/>
      <c r="O23" s="61"/>
      <c r="P23" s="61"/>
      <c r="Q23" s="61"/>
      <c r="R23" s="61"/>
      <c r="S23" s="61"/>
      <c r="T23" s="61"/>
      <c r="U23" s="61"/>
      <c r="V23" s="61"/>
      <c r="W23" s="61"/>
      <c r="X23" s="61"/>
      <c r="Y23" s="85"/>
      <c r="Z23" s="62" t="str">
        <f t="shared" si="0"/>
        <v/>
      </c>
      <c r="AA23" s="61"/>
      <c r="AB23" s="61"/>
      <c r="AC23" s="61"/>
      <c r="AD23" s="61"/>
      <c r="AE23" s="61"/>
      <c r="AF23" s="61"/>
      <c r="AG23" s="61"/>
      <c r="AH23" s="61"/>
      <c r="AI23" s="61"/>
      <c r="AJ23" s="61"/>
      <c r="AK23" s="61"/>
      <c r="AL23" s="61"/>
      <c r="AM23" s="62" t="str">
        <f t="shared" si="1"/>
        <v/>
      </c>
      <c r="AN23" s="61"/>
      <c r="AO23" s="61"/>
      <c r="AP23" s="61"/>
      <c r="AQ23" s="61"/>
      <c r="AR23" s="61"/>
      <c r="AS23" s="61"/>
      <c r="AT23" s="61"/>
      <c r="AU23" s="61"/>
      <c r="AV23" s="61"/>
      <c r="AW23" s="61"/>
      <c r="AX23" s="61"/>
      <c r="AY23" s="61"/>
      <c r="AZ23" s="87" t="str">
        <f t="shared" si="2"/>
        <v/>
      </c>
      <c r="BA23" s="61"/>
      <c r="BB23" s="61"/>
      <c r="BC23" s="61"/>
      <c r="BD23" s="61"/>
      <c r="BE23" s="61"/>
      <c r="BF23" s="61"/>
      <c r="BG23" s="61"/>
      <c r="BH23" s="61"/>
      <c r="BI23" s="61"/>
      <c r="BJ23" s="61"/>
      <c r="BK23" s="61"/>
      <c r="BL23" s="61"/>
      <c r="BM23" s="87" t="str">
        <f t="shared" si="3"/>
        <v/>
      </c>
      <c r="BN23" s="61"/>
      <c r="BO23" s="61"/>
      <c r="BP23" s="61"/>
      <c r="BQ23" s="61"/>
      <c r="BR23" s="61"/>
      <c r="BS23" s="61"/>
      <c r="BT23" s="61"/>
      <c r="BU23" s="61"/>
      <c r="BV23" s="61"/>
      <c r="BW23" s="61"/>
      <c r="BX23" s="61"/>
      <c r="BY23" s="61"/>
      <c r="BZ23" s="87" t="str">
        <f t="shared" si="4"/>
        <v/>
      </c>
      <c r="CA23"/>
      <c r="CB23" s="18"/>
    </row>
    <row r="24" spans="2:80" ht="16" x14ac:dyDescent="0.35">
      <c r="B24" s="83" t="str">
        <f>VLOOKUP(BenefitsPlanTable[[#This Row],[Benefit Category]],Lists!$E$2:$F$7,2,FALSE)</f>
        <v>CB</v>
      </c>
      <c r="C24" s="27" t="str">
        <f>CONCATENATE(B24,"02")</f>
        <v>CB02</v>
      </c>
      <c r="D24" s="22" t="s">
        <v>25</v>
      </c>
      <c r="E24" s="22"/>
      <c r="F24" s="6"/>
      <c r="G24" s="6"/>
      <c r="H24" s="6"/>
      <c r="I24" s="6"/>
      <c r="J24" s="84"/>
      <c r="K24" s="41"/>
      <c r="L24" s="41"/>
      <c r="M24" s="41"/>
      <c r="N24" s="61"/>
      <c r="O24" s="61"/>
      <c r="P24" s="61"/>
      <c r="Q24" s="61"/>
      <c r="R24" s="61"/>
      <c r="S24" s="61"/>
      <c r="T24" s="61"/>
      <c r="U24" s="61"/>
      <c r="V24" s="61"/>
      <c r="W24" s="61"/>
      <c r="X24" s="61"/>
      <c r="Y24" s="85"/>
      <c r="Z24" s="62" t="str">
        <f t="shared" si="0"/>
        <v/>
      </c>
      <c r="AA24" s="61"/>
      <c r="AB24" s="61"/>
      <c r="AC24" s="61"/>
      <c r="AD24" s="61"/>
      <c r="AE24" s="61"/>
      <c r="AF24" s="61"/>
      <c r="AG24" s="61"/>
      <c r="AH24" s="61"/>
      <c r="AI24" s="61"/>
      <c r="AJ24" s="61"/>
      <c r="AK24" s="61"/>
      <c r="AL24" s="61"/>
      <c r="AM24" s="62" t="str">
        <f t="shared" si="1"/>
        <v/>
      </c>
      <c r="AN24" s="61"/>
      <c r="AO24" s="61"/>
      <c r="AP24" s="61"/>
      <c r="AQ24" s="61"/>
      <c r="AR24" s="61"/>
      <c r="AS24" s="61"/>
      <c r="AT24" s="61"/>
      <c r="AU24" s="61"/>
      <c r="AV24" s="61"/>
      <c r="AW24" s="61"/>
      <c r="AX24" s="61"/>
      <c r="AY24" s="61"/>
      <c r="AZ24" s="87" t="str">
        <f t="shared" si="2"/>
        <v/>
      </c>
      <c r="BA24" s="61"/>
      <c r="BB24" s="61"/>
      <c r="BC24" s="61"/>
      <c r="BD24" s="61"/>
      <c r="BE24" s="61"/>
      <c r="BF24" s="61"/>
      <c r="BG24" s="61"/>
      <c r="BH24" s="61"/>
      <c r="BI24" s="61"/>
      <c r="BJ24" s="61"/>
      <c r="BK24" s="61"/>
      <c r="BL24" s="61"/>
      <c r="BM24" s="87" t="str">
        <f t="shared" si="3"/>
        <v/>
      </c>
      <c r="BN24" s="61"/>
      <c r="BO24" s="61"/>
      <c r="BP24" s="61"/>
      <c r="BQ24" s="61"/>
      <c r="BR24" s="61"/>
      <c r="BS24" s="61"/>
      <c r="BT24" s="61"/>
      <c r="BU24" s="61"/>
      <c r="BV24" s="61"/>
      <c r="BW24" s="61"/>
      <c r="BX24" s="61"/>
      <c r="BY24" s="61"/>
      <c r="BZ24" s="87" t="str">
        <f t="shared" si="4"/>
        <v/>
      </c>
      <c r="CA24"/>
      <c r="CB24" s="18"/>
    </row>
    <row r="25" spans="2:80" ht="16" x14ac:dyDescent="0.35">
      <c r="B25" s="83" t="str">
        <f>VLOOKUP(BenefitsPlanTable[[#This Row],[Benefit Category]],Lists!$E$2:$F$7,2,FALSE)</f>
        <v>CB</v>
      </c>
      <c r="C25" s="27" t="str">
        <f>CONCATENATE(B25,"03")</f>
        <v>CB03</v>
      </c>
      <c r="D25" s="22" t="s">
        <v>25</v>
      </c>
      <c r="E25" s="22"/>
      <c r="F25" s="6"/>
      <c r="G25" s="6"/>
      <c r="H25" s="6"/>
      <c r="I25" s="6"/>
      <c r="J25" s="84"/>
      <c r="K25" s="41"/>
      <c r="L25" s="41"/>
      <c r="M25" s="41"/>
      <c r="N25" s="61"/>
      <c r="O25" s="61"/>
      <c r="P25" s="61"/>
      <c r="Q25" s="61"/>
      <c r="R25" s="61"/>
      <c r="S25" s="61"/>
      <c r="T25" s="61"/>
      <c r="U25" s="61"/>
      <c r="V25" s="61"/>
      <c r="W25" s="61"/>
      <c r="X25" s="61"/>
      <c r="Y25" s="85"/>
      <c r="Z25" s="62" t="str">
        <f t="shared" si="0"/>
        <v/>
      </c>
      <c r="AA25" s="61"/>
      <c r="AB25" s="61"/>
      <c r="AC25" s="61"/>
      <c r="AD25" s="61"/>
      <c r="AE25" s="61"/>
      <c r="AF25" s="61"/>
      <c r="AG25" s="61"/>
      <c r="AH25" s="61"/>
      <c r="AI25" s="61"/>
      <c r="AJ25" s="61"/>
      <c r="AK25" s="61"/>
      <c r="AL25" s="61"/>
      <c r="AM25" s="62" t="str">
        <f t="shared" si="1"/>
        <v/>
      </c>
      <c r="AN25" s="61"/>
      <c r="AO25" s="61"/>
      <c r="AP25" s="61"/>
      <c r="AQ25" s="61"/>
      <c r="AR25" s="61"/>
      <c r="AS25" s="61"/>
      <c r="AT25" s="61"/>
      <c r="AU25" s="61"/>
      <c r="AV25" s="61"/>
      <c r="AW25" s="61"/>
      <c r="AX25" s="61"/>
      <c r="AY25" s="61"/>
      <c r="AZ25" s="87" t="str">
        <f t="shared" si="2"/>
        <v/>
      </c>
      <c r="BA25" s="61"/>
      <c r="BB25" s="61"/>
      <c r="BC25" s="61"/>
      <c r="BD25" s="61"/>
      <c r="BE25" s="61"/>
      <c r="BF25" s="61"/>
      <c r="BG25" s="61"/>
      <c r="BH25" s="61"/>
      <c r="BI25" s="61"/>
      <c r="BJ25" s="61"/>
      <c r="BK25" s="61"/>
      <c r="BL25" s="61"/>
      <c r="BM25" s="87" t="str">
        <f t="shared" si="3"/>
        <v/>
      </c>
      <c r="BN25" s="61"/>
      <c r="BO25" s="61"/>
      <c r="BP25" s="61"/>
      <c r="BQ25" s="61"/>
      <c r="BR25" s="61"/>
      <c r="BS25" s="61"/>
      <c r="BT25" s="61"/>
      <c r="BU25" s="61"/>
      <c r="BV25" s="61"/>
      <c r="BW25" s="61"/>
      <c r="BX25" s="61"/>
      <c r="BY25" s="61"/>
      <c r="BZ25" s="87" t="str">
        <f t="shared" si="4"/>
        <v/>
      </c>
      <c r="CA25"/>
      <c r="CB25" s="18"/>
    </row>
    <row r="26" spans="2:80" ht="16" x14ac:dyDescent="0.35">
      <c r="C26" s="22"/>
      <c r="D26" s="22"/>
      <c r="E26" s="22"/>
      <c r="F26" s="6"/>
      <c r="G26" s="6"/>
      <c r="H26" s="6"/>
      <c r="I26" s="6"/>
      <c r="J26" s="84"/>
      <c r="K26" s="41"/>
      <c r="L26" s="41"/>
      <c r="M26" s="41"/>
      <c r="N26" s="61"/>
      <c r="O26" s="61"/>
      <c r="P26" s="61"/>
      <c r="Q26" s="61"/>
      <c r="R26" s="61"/>
      <c r="S26" s="61"/>
      <c r="T26" s="61"/>
      <c r="U26" s="61"/>
      <c r="V26" s="61"/>
      <c r="W26" s="61"/>
      <c r="X26" s="61"/>
      <c r="Y26" s="85"/>
      <c r="Z26" s="62" t="str">
        <f t="shared" ref="Z26:Z29" si="10">IF(COUNTA(N26:Y26)=0,"",SUM(N26:Y26))</f>
        <v/>
      </c>
      <c r="AA26" s="61"/>
      <c r="AB26" s="61"/>
      <c r="AC26" s="61"/>
      <c r="AD26" s="61"/>
      <c r="AE26" s="61"/>
      <c r="AF26" s="61"/>
      <c r="AG26" s="61"/>
      <c r="AH26" s="61"/>
      <c r="AI26" s="61"/>
      <c r="AJ26" s="61"/>
      <c r="AK26" s="61"/>
      <c r="AL26" s="61"/>
      <c r="AM26" s="62" t="str">
        <f t="shared" ref="AM26:AM29" si="11">IF(COUNTA(AA26:AL26)=0,"",SUM(AA26:AL26))</f>
        <v/>
      </c>
      <c r="AN26" s="61"/>
      <c r="AO26" s="61"/>
      <c r="AP26" s="61"/>
      <c r="AQ26" s="61"/>
      <c r="AR26" s="61"/>
      <c r="AS26" s="61"/>
      <c r="AT26" s="61"/>
      <c r="AU26" s="61"/>
      <c r="AV26" s="61"/>
      <c r="AW26" s="61"/>
      <c r="AX26" s="61"/>
      <c r="AY26" s="61"/>
      <c r="AZ26" s="87" t="str">
        <f t="shared" ref="AZ26:AZ29" si="12">IF(COUNTA(AN26:AY26)=0,"",SUM(AN26:AY26))</f>
        <v/>
      </c>
      <c r="BA26" s="61"/>
      <c r="BB26" s="61"/>
      <c r="BC26" s="61"/>
      <c r="BD26" s="61"/>
      <c r="BE26" s="61"/>
      <c r="BF26" s="61"/>
      <c r="BG26" s="61"/>
      <c r="BH26" s="61"/>
      <c r="BI26" s="61"/>
      <c r="BJ26" s="61"/>
      <c r="BK26" s="61"/>
      <c r="BL26" s="61"/>
      <c r="BM26" s="87" t="str">
        <f t="shared" ref="BM26:BM29" si="13">IF(COUNTA(BA26:BL26)=0,"",SUM(BA26:BL26))</f>
        <v/>
      </c>
      <c r="BN26" s="61"/>
      <c r="BO26" s="61"/>
      <c r="BP26" s="61"/>
      <c r="BQ26" s="61"/>
      <c r="BR26" s="61"/>
      <c r="BS26" s="61"/>
      <c r="BT26" s="61"/>
      <c r="BU26" s="61"/>
      <c r="BV26" s="61"/>
      <c r="BW26" s="61"/>
      <c r="BX26" s="61"/>
      <c r="BY26" s="61"/>
      <c r="BZ26" s="87" t="str">
        <f t="shared" ref="BZ26:BZ29" si="14">IF(COUNTA(BN26:BY26)=0,"",SUM(BN26:BY26))</f>
        <v/>
      </c>
      <c r="CA26"/>
      <c r="CB26" s="18"/>
    </row>
    <row r="27" spans="2:80" ht="28" x14ac:dyDescent="0.35">
      <c r="B27" s="83" t="str">
        <f>VLOOKUP(D27,Lists!$E$2:$F$7,2,FALSE)</f>
        <v>OTB</v>
      </c>
      <c r="C27" s="22" t="str">
        <f>CONCATENATE(B27,"01")</f>
        <v>OTB01</v>
      </c>
      <c r="D27" s="22" t="s">
        <v>212</v>
      </c>
      <c r="E27" s="22"/>
      <c r="F27" s="6" t="s">
        <v>370</v>
      </c>
      <c r="G27" s="6"/>
      <c r="H27" s="6"/>
      <c r="I27" s="6"/>
      <c r="J27" s="84"/>
      <c r="K27" s="41"/>
      <c r="L27" s="41"/>
      <c r="M27" s="41"/>
      <c r="N27" s="61"/>
      <c r="O27" s="61"/>
      <c r="P27" s="61"/>
      <c r="Q27" s="61"/>
      <c r="R27" s="61"/>
      <c r="S27" s="61"/>
      <c r="T27" s="61"/>
      <c r="U27" s="61"/>
      <c r="V27" s="61"/>
      <c r="W27" s="61"/>
      <c r="X27" s="61"/>
      <c r="Y27" s="85"/>
      <c r="Z27" s="62" t="str">
        <f t="shared" si="10"/>
        <v/>
      </c>
      <c r="AA27" s="61"/>
      <c r="AB27" s="61"/>
      <c r="AC27" s="61"/>
      <c r="AD27" s="61"/>
      <c r="AE27" s="61"/>
      <c r="AF27" s="61"/>
      <c r="AG27" s="61"/>
      <c r="AH27" s="61"/>
      <c r="AI27" s="61"/>
      <c r="AJ27" s="61"/>
      <c r="AK27" s="61"/>
      <c r="AL27" s="61"/>
      <c r="AM27" s="62" t="str">
        <f t="shared" si="11"/>
        <v/>
      </c>
      <c r="AN27" s="61"/>
      <c r="AO27" s="61"/>
      <c r="AP27" s="61"/>
      <c r="AQ27" s="61"/>
      <c r="AR27" s="61"/>
      <c r="AS27" s="61"/>
      <c r="AT27" s="61"/>
      <c r="AU27" s="61"/>
      <c r="AV27" s="61"/>
      <c r="AW27" s="61"/>
      <c r="AX27" s="61"/>
      <c r="AY27" s="61"/>
      <c r="AZ27" s="87" t="str">
        <f t="shared" si="12"/>
        <v/>
      </c>
      <c r="BA27" s="61"/>
      <c r="BB27" s="61"/>
      <c r="BC27" s="61"/>
      <c r="BD27" s="61"/>
      <c r="BE27" s="61"/>
      <c r="BF27" s="61"/>
      <c r="BG27" s="61"/>
      <c r="BH27" s="61"/>
      <c r="BI27" s="61"/>
      <c r="BJ27" s="61"/>
      <c r="BK27" s="61"/>
      <c r="BL27" s="61"/>
      <c r="BM27" s="87" t="str">
        <f t="shared" si="13"/>
        <v/>
      </c>
      <c r="BN27" s="61"/>
      <c r="BO27" s="61"/>
      <c r="BP27" s="61"/>
      <c r="BQ27" s="61"/>
      <c r="BR27" s="61"/>
      <c r="BS27" s="61"/>
      <c r="BT27" s="61"/>
      <c r="BU27" s="61"/>
      <c r="BV27" s="61"/>
      <c r="BW27" s="61"/>
      <c r="BX27" s="61"/>
      <c r="BY27" s="61"/>
      <c r="BZ27" s="87" t="str">
        <f t="shared" si="14"/>
        <v/>
      </c>
      <c r="CA27"/>
      <c r="CB27" s="18"/>
    </row>
    <row r="28" spans="2:80" ht="16" x14ac:dyDescent="0.35">
      <c r="B28" s="83" t="str">
        <f>VLOOKUP(D28,Lists!$E$2:$F$7,2,FALSE)</f>
        <v>OTB</v>
      </c>
      <c r="C28" s="22" t="str">
        <f>CONCATENATE(B28,"02")</f>
        <v>OTB02</v>
      </c>
      <c r="D28" s="22" t="s">
        <v>212</v>
      </c>
      <c r="E28" s="22"/>
      <c r="F28" s="6"/>
      <c r="G28" s="6"/>
      <c r="H28" s="6"/>
      <c r="I28" s="6"/>
      <c r="J28" s="84"/>
      <c r="K28" s="41"/>
      <c r="L28" s="41"/>
      <c r="M28" s="41"/>
      <c r="N28" s="61"/>
      <c r="O28" s="61"/>
      <c r="P28" s="61"/>
      <c r="Q28" s="61"/>
      <c r="R28" s="61"/>
      <c r="S28" s="61"/>
      <c r="T28" s="61"/>
      <c r="U28" s="61"/>
      <c r="V28" s="61"/>
      <c r="W28" s="61"/>
      <c r="X28" s="61"/>
      <c r="Y28" s="85"/>
      <c r="Z28" s="62" t="str">
        <f t="shared" si="10"/>
        <v/>
      </c>
      <c r="AA28" s="61"/>
      <c r="AB28" s="61"/>
      <c r="AC28" s="61"/>
      <c r="AD28" s="61"/>
      <c r="AE28" s="61"/>
      <c r="AF28" s="61"/>
      <c r="AG28" s="61"/>
      <c r="AH28" s="61"/>
      <c r="AI28" s="61"/>
      <c r="AJ28" s="61"/>
      <c r="AK28" s="61"/>
      <c r="AL28" s="61"/>
      <c r="AM28" s="62" t="str">
        <f t="shared" si="11"/>
        <v/>
      </c>
      <c r="AN28" s="61"/>
      <c r="AO28" s="61"/>
      <c r="AP28" s="61"/>
      <c r="AQ28" s="61"/>
      <c r="AR28" s="61"/>
      <c r="AS28" s="61"/>
      <c r="AT28" s="61"/>
      <c r="AU28" s="61"/>
      <c r="AV28" s="61"/>
      <c r="AW28" s="61"/>
      <c r="AX28" s="61"/>
      <c r="AY28" s="61"/>
      <c r="AZ28" s="87" t="str">
        <f t="shared" si="12"/>
        <v/>
      </c>
      <c r="BA28" s="61"/>
      <c r="BB28" s="61"/>
      <c r="BC28" s="61"/>
      <c r="BD28" s="61"/>
      <c r="BE28" s="61"/>
      <c r="BF28" s="61"/>
      <c r="BG28" s="61"/>
      <c r="BH28" s="61"/>
      <c r="BI28" s="61"/>
      <c r="BJ28" s="61"/>
      <c r="BK28" s="61"/>
      <c r="BL28" s="61"/>
      <c r="BM28" s="87" t="str">
        <f t="shared" si="13"/>
        <v/>
      </c>
      <c r="BN28" s="61"/>
      <c r="BO28" s="61"/>
      <c r="BP28" s="61"/>
      <c r="BQ28" s="61"/>
      <c r="BR28" s="61"/>
      <c r="BS28" s="61"/>
      <c r="BT28" s="61"/>
      <c r="BU28" s="61"/>
      <c r="BV28" s="61"/>
      <c r="BW28" s="61"/>
      <c r="BX28" s="61"/>
      <c r="BY28" s="61"/>
      <c r="BZ28" s="87" t="str">
        <f t="shared" si="14"/>
        <v/>
      </c>
      <c r="CA28"/>
      <c r="CB28" s="18"/>
    </row>
    <row r="29" spans="2:80" ht="16" x14ac:dyDescent="0.35">
      <c r="B29" s="83" t="str">
        <f>VLOOKUP(D29,Lists!$E$2:$F$7,2,FALSE)</f>
        <v>OTB</v>
      </c>
      <c r="C29" s="22" t="str">
        <f>CONCATENATE(B29,"03")</f>
        <v>OTB03</v>
      </c>
      <c r="D29" s="22" t="s">
        <v>212</v>
      </c>
      <c r="E29" s="22"/>
      <c r="F29" s="6"/>
      <c r="G29" s="6"/>
      <c r="H29" s="6"/>
      <c r="I29" s="6"/>
      <c r="J29" s="84"/>
      <c r="K29" s="41"/>
      <c r="L29" s="41"/>
      <c r="M29" s="41"/>
      <c r="N29" s="61"/>
      <c r="O29" s="61"/>
      <c r="P29" s="61"/>
      <c r="Q29" s="61"/>
      <c r="R29" s="61"/>
      <c r="S29" s="61"/>
      <c r="T29" s="61"/>
      <c r="U29" s="61"/>
      <c r="V29" s="61"/>
      <c r="W29" s="61"/>
      <c r="X29" s="61"/>
      <c r="Y29" s="85"/>
      <c r="Z29" s="62" t="str">
        <f t="shared" si="10"/>
        <v/>
      </c>
      <c r="AA29" s="61"/>
      <c r="AB29" s="61"/>
      <c r="AC29" s="61"/>
      <c r="AD29" s="61"/>
      <c r="AE29" s="61"/>
      <c r="AF29" s="61"/>
      <c r="AG29" s="61"/>
      <c r="AH29" s="61"/>
      <c r="AI29" s="61"/>
      <c r="AJ29" s="61"/>
      <c r="AK29" s="61"/>
      <c r="AL29" s="61"/>
      <c r="AM29" s="62" t="str">
        <f t="shared" si="11"/>
        <v/>
      </c>
      <c r="AN29" s="61"/>
      <c r="AO29" s="61"/>
      <c r="AP29" s="61"/>
      <c r="AQ29" s="61"/>
      <c r="AR29" s="61"/>
      <c r="AS29" s="61"/>
      <c r="AT29" s="61"/>
      <c r="AU29" s="61"/>
      <c r="AV29" s="61"/>
      <c r="AW29" s="61"/>
      <c r="AX29" s="61"/>
      <c r="AY29" s="61"/>
      <c r="AZ29" s="87" t="str">
        <f t="shared" si="12"/>
        <v/>
      </c>
      <c r="BA29" s="61"/>
      <c r="BB29" s="61"/>
      <c r="BC29" s="61"/>
      <c r="BD29" s="61"/>
      <c r="BE29" s="61"/>
      <c r="BF29" s="61"/>
      <c r="BG29" s="61"/>
      <c r="BH29" s="61"/>
      <c r="BI29" s="61"/>
      <c r="BJ29" s="61"/>
      <c r="BK29" s="61"/>
      <c r="BL29" s="61"/>
      <c r="BM29" s="87" t="str">
        <f t="shared" si="13"/>
        <v/>
      </c>
      <c r="BN29" s="61"/>
      <c r="BO29" s="61"/>
      <c r="BP29" s="61"/>
      <c r="BQ29" s="61"/>
      <c r="BR29" s="61"/>
      <c r="BS29" s="61"/>
      <c r="BT29" s="61"/>
      <c r="BU29" s="61"/>
      <c r="BV29" s="61"/>
      <c r="BW29" s="61"/>
      <c r="BX29" s="61"/>
      <c r="BY29" s="61"/>
      <c r="BZ29" s="87" t="str">
        <f t="shared" si="14"/>
        <v/>
      </c>
      <c r="CA29"/>
      <c r="CB29" s="18"/>
    </row>
  </sheetData>
  <phoneticPr fontId="8" type="noConversion"/>
  <dataValidations count="1">
    <dataValidation type="list" allowBlank="1" showInputMessage="1" showErrorMessage="1" sqref="D7:D26" xr:uid="{AD04796E-5164-49CA-A7EF-ACCB06B496A7}">
      <formula1>BenefitCategory</formula1>
    </dataValidation>
  </dataValidations>
  <pageMargins left="0.23622047244094491" right="0.23622047244094491" top="0.74803149606299213" bottom="0.74803149606299213" header="0.31496062992125984" footer="0.31496062992125984"/>
  <pageSetup paperSize="9" scale="17"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86003A3A-0E35-4D83-87A0-D33ABD6F999D}">
          <x14:formula1>
            <xm:f>Lists!$H$2:$H$5</xm:f>
          </x14:formula1>
          <xm:sqref>E10:E29</xm:sqref>
        </x14:dataValidation>
        <x14:dataValidation type="list" allowBlank="1" showInputMessage="1" showErrorMessage="1" xr:uid="{70649FB3-73CD-455B-AE05-FE6D60B2CFCF}">
          <x14:formula1>
            <xm:f>Lists!$H$10:$H$12</xm:f>
          </x14:formula1>
          <xm:sqref>H7:H29</xm:sqref>
        </x14:dataValidation>
        <x14:dataValidation type="list" allowBlank="1" showInputMessage="1" showErrorMessage="1" xr:uid="{4810DCEC-80A7-4C60-9B5B-0BA1BA6B849D}">
          <x14:formula1>
            <xm:f>Lists!$E$2:$E$7</xm:f>
          </x14:formula1>
          <xm:sqref>D27:D29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BA7D8-9848-4671-9C8C-93090135CCF4}">
  <sheetPr>
    <tabColor theme="8" tint="0.59999389629810485"/>
  </sheetPr>
  <dimension ref="A1:BX15"/>
  <sheetViews>
    <sheetView showGridLines="0" zoomScale="90" zoomScaleNormal="90" workbookViewId="0">
      <selection activeCell="B1" sqref="B1"/>
    </sheetView>
  </sheetViews>
  <sheetFormatPr defaultColWidth="0" defaultRowHeight="14.5" x14ac:dyDescent="0.35"/>
  <cols>
    <col min="1" max="1" width="2.7265625" style="18" customWidth="1"/>
    <col min="2" max="2" width="2.7265625" customWidth="1"/>
    <col min="3" max="3" width="26.81640625" customWidth="1"/>
    <col min="4" max="4" width="92.7265625" customWidth="1"/>
    <col min="5" max="5" width="15.7265625" customWidth="1"/>
    <col min="6" max="6" width="28.1796875" bestFit="1" customWidth="1"/>
    <col min="7" max="71" width="9.1796875" customWidth="1"/>
    <col min="72" max="72" width="2.7265625" style="51" customWidth="1"/>
    <col min="73" max="73" width="9.1796875" style="18" customWidth="1"/>
    <col min="74" max="76" width="0" hidden="1" customWidth="1"/>
    <col min="77" max="16384" width="9.1796875" hidden="1"/>
  </cols>
  <sheetData>
    <row r="1" spans="1:75" x14ac:dyDescent="0.35">
      <c r="BW1" s="18"/>
    </row>
    <row r="2" spans="1:75" ht="31" x14ac:dyDescent="0.7">
      <c r="A2" s="25"/>
      <c r="C2" s="23" t="str">
        <f>ApplicationTitle</f>
        <v>Transformation Funding Worksheet - DLN Transformation Fund</v>
      </c>
      <c r="D2" s="23"/>
      <c r="BW2" s="18"/>
    </row>
    <row r="3" spans="1:75" ht="16.5" x14ac:dyDescent="0.35">
      <c r="C3" s="24" t="s">
        <v>198</v>
      </c>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W3" s="18"/>
    </row>
    <row r="4" spans="1:75" x14ac:dyDescent="0.35">
      <c r="BW4" s="18"/>
    </row>
    <row r="6" spans="1:75" ht="58.5" customHeight="1" x14ac:dyDescent="0.35">
      <c r="C6" s="26" t="s">
        <v>199</v>
      </c>
      <c r="D6" s="43" t="s">
        <v>200</v>
      </c>
      <c r="E6" s="4" t="s">
        <v>201</v>
      </c>
      <c r="F6" s="4" t="s">
        <v>105</v>
      </c>
      <c r="G6" s="35" t="s">
        <v>131</v>
      </c>
      <c r="H6" s="35" t="s">
        <v>132</v>
      </c>
      <c r="I6" s="35" t="s">
        <v>133</v>
      </c>
      <c r="J6" s="35" t="s">
        <v>134</v>
      </c>
      <c r="K6" s="35" t="s">
        <v>135</v>
      </c>
      <c r="L6" s="35" t="s">
        <v>136</v>
      </c>
      <c r="M6" s="35" t="s">
        <v>137</v>
      </c>
      <c r="N6" s="35" t="s">
        <v>138</v>
      </c>
      <c r="O6" s="35" t="s">
        <v>139</v>
      </c>
      <c r="P6" s="35" t="s">
        <v>140</v>
      </c>
      <c r="Q6" s="35" t="s">
        <v>141</v>
      </c>
      <c r="R6" s="35" t="s">
        <v>142</v>
      </c>
      <c r="S6" s="17" t="s">
        <v>143</v>
      </c>
      <c r="T6" s="35" t="s">
        <v>144</v>
      </c>
      <c r="U6" s="35" t="s">
        <v>145</v>
      </c>
      <c r="V6" s="35" t="s">
        <v>146</v>
      </c>
      <c r="W6" s="35" t="s">
        <v>147</v>
      </c>
      <c r="X6" s="35" t="s">
        <v>148</v>
      </c>
      <c r="Y6" s="35" t="s">
        <v>149</v>
      </c>
      <c r="Z6" s="35" t="s">
        <v>150</v>
      </c>
      <c r="AA6" s="35" t="s">
        <v>151</v>
      </c>
      <c r="AB6" s="35" t="s">
        <v>152</v>
      </c>
      <c r="AC6" s="35" t="s">
        <v>153</v>
      </c>
      <c r="AD6" s="35" t="s">
        <v>154</v>
      </c>
      <c r="AE6" s="35" t="s">
        <v>155</v>
      </c>
      <c r="AF6" s="17" t="s">
        <v>156</v>
      </c>
      <c r="AG6" s="35" t="s">
        <v>157</v>
      </c>
      <c r="AH6" s="35" t="s">
        <v>158</v>
      </c>
      <c r="AI6" s="35" t="s">
        <v>159</v>
      </c>
      <c r="AJ6" s="35" t="s">
        <v>160</v>
      </c>
      <c r="AK6" s="35" t="s">
        <v>161</v>
      </c>
      <c r="AL6" s="35" t="s">
        <v>162</v>
      </c>
      <c r="AM6" s="35" t="s">
        <v>163</v>
      </c>
      <c r="AN6" s="35" t="s">
        <v>164</v>
      </c>
      <c r="AO6" s="35" t="s">
        <v>165</v>
      </c>
      <c r="AP6" s="35" t="s">
        <v>166</v>
      </c>
      <c r="AQ6" s="35" t="s">
        <v>167</v>
      </c>
      <c r="AR6" s="35" t="s">
        <v>168</v>
      </c>
      <c r="AS6" s="17" t="s">
        <v>169</v>
      </c>
      <c r="AT6" s="35" t="s">
        <v>170</v>
      </c>
      <c r="AU6" s="35" t="s">
        <v>171</v>
      </c>
      <c r="AV6" s="35" t="s">
        <v>172</v>
      </c>
      <c r="AW6" s="35" t="s">
        <v>173</v>
      </c>
      <c r="AX6" s="35" t="s">
        <v>174</v>
      </c>
      <c r="AY6" s="35" t="s">
        <v>175</v>
      </c>
      <c r="AZ6" s="35" t="s">
        <v>176</v>
      </c>
      <c r="BA6" s="35" t="s">
        <v>177</v>
      </c>
      <c r="BB6" s="35" t="s">
        <v>178</v>
      </c>
      <c r="BC6" s="35" t="s">
        <v>179</v>
      </c>
      <c r="BD6" s="35" t="s">
        <v>180</v>
      </c>
      <c r="BE6" s="35" t="s">
        <v>181</v>
      </c>
      <c r="BF6" s="17" t="s">
        <v>182</v>
      </c>
      <c r="BG6" s="35" t="s">
        <v>183</v>
      </c>
      <c r="BH6" s="35" t="s">
        <v>184</v>
      </c>
      <c r="BI6" s="35" t="s">
        <v>185</v>
      </c>
      <c r="BJ6" s="35" t="s">
        <v>186</v>
      </c>
      <c r="BK6" s="35" t="s">
        <v>187</v>
      </c>
      <c r="BL6" s="35" t="s">
        <v>188</v>
      </c>
      <c r="BM6" s="35" t="s">
        <v>189</v>
      </c>
      <c r="BN6" s="35" t="s">
        <v>190</v>
      </c>
      <c r="BO6" s="35" t="s">
        <v>191</v>
      </c>
      <c r="BP6" s="35" t="s">
        <v>192</v>
      </c>
      <c r="BQ6" s="35" t="s">
        <v>193</v>
      </c>
      <c r="BR6" s="35" t="s">
        <v>194</v>
      </c>
      <c r="BS6" s="17" t="s">
        <v>195</v>
      </c>
    </row>
    <row r="7" spans="1:75" s="57" customFormat="1" ht="42" x14ac:dyDescent="0.35">
      <c r="A7" s="56"/>
      <c r="C7" s="58" t="s">
        <v>371</v>
      </c>
      <c r="D7" s="59" t="s">
        <v>202</v>
      </c>
      <c r="E7" s="60">
        <f>SUM(InvestmentPlanTable[[#This Row],[26/27 Total]]+InvestmentPlanTable[[#This Row],[27/28 Total]]+InvestmentPlanTable[[#This Row],[28/29 Total]]+InvestmentPlanTable[[#This Row],[29/30 Total]]+InvestmentPlanTable[[#This Row],[30/31 Total]])</f>
        <v>0</v>
      </c>
      <c r="F7" s="59"/>
      <c r="G7" s="61"/>
      <c r="H7" s="61"/>
      <c r="I7" s="61"/>
      <c r="J7" s="61"/>
      <c r="K7" s="61"/>
      <c r="L7" s="61"/>
      <c r="M7" s="61"/>
      <c r="N7" s="61"/>
      <c r="O7" s="61"/>
      <c r="P7" s="61"/>
      <c r="Q7" s="61"/>
      <c r="R7" s="61"/>
      <c r="S7" s="62">
        <f>SUM(G7:R7)</f>
        <v>0</v>
      </c>
      <c r="T7" s="61"/>
      <c r="U7" s="61"/>
      <c r="V7" s="61"/>
      <c r="W7" s="61"/>
      <c r="X7" s="61"/>
      <c r="Y7" s="61"/>
      <c r="Z7" s="61"/>
      <c r="AA7" s="61"/>
      <c r="AB7" s="61"/>
      <c r="AC7" s="61"/>
      <c r="AD7" s="61"/>
      <c r="AE7" s="61"/>
      <c r="AF7" s="62">
        <f>SUM(T7:AE7)</f>
        <v>0</v>
      </c>
      <c r="AG7" s="61"/>
      <c r="AH7" s="61"/>
      <c r="AI7" s="61"/>
      <c r="AJ7" s="61"/>
      <c r="AK7" s="61"/>
      <c r="AL7" s="61"/>
      <c r="AM7" s="61"/>
      <c r="AN7" s="61"/>
      <c r="AO7" s="61"/>
      <c r="AP7" s="61"/>
      <c r="AQ7" s="61"/>
      <c r="AR7" s="61"/>
      <c r="AS7" s="62">
        <f>SUM(AG7:AR7)</f>
        <v>0</v>
      </c>
      <c r="AT7" s="61"/>
      <c r="AU7" s="61"/>
      <c r="AV7" s="61"/>
      <c r="AW7" s="61"/>
      <c r="AX7" s="61"/>
      <c r="AY7" s="61"/>
      <c r="AZ7" s="61"/>
      <c r="BA7" s="61"/>
      <c r="BB7" s="61"/>
      <c r="BC7" s="61"/>
      <c r="BD7" s="61"/>
      <c r="BE7" s="61"/>
      <c r="BF7" s="62">
        <f>SUM(AT7:BE7)</f>
        <v>0</v>
      </c>
      <c r="BG7" s="61"/>
      <c r="BH7" s="61"/>
      <c r="BI7" s="61"/>
      <c r="BJ7" s="61"/>
      <c r="BK7" s="61"/>
      <c r="BL7" s="61"/>
      <c r="BM7" s="61"/>
      <c r="BN7" s="61"/>
      <c r="BO7" s="61"/>
      <c r="BP7" s="61"/>
      <c r="BQ7" s="61"/>
      <c r="BR7" s="61"/>
      <c r="BS7" s="62">
        <f>SUM(BG7:BR7)</f>
        <v>0</v>
      </c>
      <c r="BT7" s="63"/>
      <c r="BU7" s="56"/>
    </row>
    <row r="8" spans="1:75" s="57" customFormat="1" ht="16" x14ac:dyDescent="0.35">
      <c r="A8" s="56"/>
      <c r="C8" s="58"/>
      <c r="D8" s="64"/>
      <c r="E8" s="60">
        <f>SUM(InvestmentPlanTable[[#This Row],[26/27 Total]]+InvestmentPlanTable[[#This Row],[27/28 Total]]+InvestmentPlanTable[[#This Row],[28/29 Total]]+InvestmentPlanTable[[#This Row],[29/30 Total]]+InvestmentPlanTable[[#This Row],[30/31 Total]])</f>
        <v>0</v>
      </c>
      <c r="F8" s="59"/>
      <c r="G8" s="61"/>
      <c r="H8" s="61"/>
      <c r="I8" s="61"/>
      <c r="J8" s="61"/>
      <c r="K8" s="61"/>
      <c r="L8" s="61"/>
      <c r="M8" s="61"/>
      <c r="N8" s="61"/>
      <c r="O8" s="61"/>
      <c r="P8" s="61"/>
      <c r="Q8" s="61"/>
      <c r="R8" s="61"/>
      <c r="S8" s="62">
        <f>SUM(G8:R8)</f>
        <v>0</v>
      </c>
      <c r="T8" s="61"/>
      <c r="U8" s="61"/>
      <c r="V8" s="61"/>
      <c r="W8" s="61"/>
      <c r="X8" s="61"/>
      <c r="Y8" s="61"/>
      <c r="Z8" s="61"/>
      <c r="AA8" s="61"/>
      <c r="AB8" s="61"/>
      <c r="AC8" s="61"/>
      <c r="AD8" s="61"/>
      <c r="AE8" s="61"/>
      <c r="AF8" s="62">
        <f>SUM(T8:AE8)</f>
        <v>0</v>
      </c>
      <c r="AG8" s="61"/>
      <c r="AH8" s="61"/>
      <c r="AI8" s="61"/>
      <c r="AJ8" s="61"/>
      <c r="AK8" s="61"/>
      <c r="AL8" s="61"/>
      <c r="AM8" s="61"/>
      <c r="AN8" s="61"/>
      <c r="AO8" s="61"/>
      <c r="AP8" s="61"/>
      <c r="AQ8" s="61"/>
      <c r="AR8" s="61"/>
      <c r="AS8" s="62">
        <f>SUM(AG8:AR8)</f>
        <v>0</v>
      </c>
      <c r="AT8" s="61"/>
      <c r="AU8" s="61"/>
      <c r="AV8" s="61"/>
      <c r="AW8" s="61"/>
      <c r="AX8" s="61"/>
      <c r="AY8" s="61"/>
      <c r="AZ8" s="61"/>
      <c r="BA8" s="61"/>
      <c r="BB8" s="61"/>
      <c r="BC8" s="61"/>
      <c r="BD8" s="61"/>
      <c r="BE8" s="61"/>
      <c r="BF8" s="62">
        <f>SUM(AT8:BE8)</f>
        <v>0</v>
      </c>
      <c r="BG8" s="61"/>
      <c r="BH8" s="61"/>
      <c r="BI8" s="61"/>
      <c r="BJ8" s="61"/>
      <c r="BK8" s="61"/>
      <c r="BL8" s="61"/>
      <c r="BM8" s="61"/>
      <c r="BN8" s="61"/>
      <c r="BO8" s="61"/>
      <c r="BP8" s="61"/>
      <c r="BQ8" s="61"/>
      <c r="BR8" s="61"/>
      <c r="BS8" s="62">
        <f>SUM(BG8:BR8)</f>
        <v>0</v>
      </c>
      <c r="BT8" s="63"/>
      <c r="BU8" s="56"/>
    </row>
    <row r="9" spans="1:75" s="57" customFormat="1" ht="16" x14ac:dyDescent="0.35">
      <c r="A9" s="56"/>
      <c r="C9" s="58"/>
      <c r="D9" s="64"/>
      <c r="E9" s="60">
        <f>SUM(InvestmentPlanTable[[#This Row],[26/27 Total]]+InvestmentPlanTable[[#This Row],[27/28 Total]]+InvestmentPlanTable[[#This Row],[28/29 Total]]+InvestmentPlanTable[[#This Row],[29/30 Total]]+InvestmentPlanTable[[#This Row],[30/31 Total]])</f>
        <v>0</v>
      </c>
      <c r="F9" s="59"/>
      <c r="G9" s="61"/>
      <c r="H9" s="61"/>
      <c r="I9" s="61"/>
      <c r="J9" s="61"/>
      <c r="K9" s="61"/>
      <c r="L9" s="61"/>
      <c r="M9" s="61"/>
      <c r="N9" s="61"/>
      <c r="O9" s="61"/>
      <c r="P9" s="61"/>
      <c r="Q9" s="61"/>
      <c r="R9" s="61"/>
      <c r="S9" s="62">
        <f>SUM(G9:R9)</f>
        <v>0</v>
      </c>
      <c r="T9" s="61"/>
      <c r="U9" s="61"/>
      <c r="V9" s="61"/>
      <c r="W9" s="61"/>
      <c r="X9" s="61"/>
      <c r="Y9" s="61"/>
      <c r="Z9" s="61"/>
      <c r="AA9" s="61"/>
      <c r="AB9" s="61"/>
      <c r="AC9" s="61"/>
      <c r="AD9" s="61"/>
      <c r="AE9" s="61"/>
      <c r="AF9" s="62">
        <f>SUM(T9:AE9)</f>
        <v>0</v>
      </c>
      <c r="AG9" s="61"/>
      <c r="AH9" s="61"/>
      <c r="AI9" s="61"/>
      <c r="AJ9" s="61"/>
      <c r="AK9" s="61"/>
      <c r="AL9" s="61"/>
      <c r="AM9" s="61"/>
      <c r="AN9" s="61"/>
      <c r="AO9" s="61"/>
      <c r="AP9" s="61"/>
      <c r="AQ9" s="61"/>
      <c r="AR9" s="61"/>
      <c r="AS9" s="62">
        <f>SUM(AG9:AR9)</f>
        <v>0</v>
      </c>
      <c r="AT9" s="61"/>
      <c r="AU9" s="61"/>
      <c r="AV9" s="61"/>
      <c r="AW9" s="61"/>
      <c r="AX9" s="61"/>
      <c r="AY9" s="61"/>
      <c r="AZ9" s="61"/>
      <c r="BA9" s="61"/>
      <c r="BB9" s="61"/>
      <c r="BC9" s="61"/>
      <c r="BD9" s="61"/>
      <c r="BE9" s="61"/>
      <c r="BF9" s="62">
        <f>SUM(AT9:BE9)</f>
        <v>0</v>
      </c>
      <c r="BG9" s="61"/>
      <c r="BH9" s="61"/>
      <c r="BI9" s="61"/>
      <c r="BJ9" s="61"/>
      <c r="BK9" s="61"/>
      <c r="BL9" s="61"/>
      <c r="BM9" s="61"/>
      <c r="BN9" s="61"/>
      <c r="BO9" s="61"/>
      <c r="BP9" s="61"/>
      <c r="BQ9" s="61"/>
      <c r="BR9" s="61"/>
      <c r="BS9" s="62">
        <f>SUM(BG9:BR9)</f>
        <v>0</v>
      </c>
      <c r="BT9" s="63"/>
      <c r="BU9" s="56"/>
    </row>
    <row r="10" spans="1:75" s="57" customFormat="1" ht="16" x14ac:dyDescent="0.35">
      <c r="A10" s="56"/>
      <c r="C10" s="65"/>
      <c r="D10" s="64"/>
      <c r="E10" s="66">
        <f>SUM(InvestmentPlanTable[[#This Row],[26/27 Total]]+InvestmentPlanTable[[#This Row],[27/28 Total]]+InvestmentPlanTable[[#This Row],[28/29 Total]]+InvestmentPlanTable[[#This Row],[29/30 Total]]+InvestmentPlanTable[[#This Row],[30/31 Total]])</f>
        <v>0</v>
      </c>
      <c r="F10" s="67"/>
      <c r="G10" s="68"/>
      <c r="H10" s="68"/>
      <c r="I10" s="68"/>
      <c r="J10" s="68"/>
      <c r="K10" s="68"/>
      <c r="L10" s="68"/>
      <c r="M10" s="68"/>
      <c r="N10" s="68"/>
      <c r="O10" s="68"/>
      <c r="P10" s="68"/>
      <c r="Q10" s="68"/>
      <c r="R10" s="68"/>
      <c r="S10" s="69">
        <f t="shared" ref="S10:S13" si="0">SUM(G10:R10)</f>
        <v>0</v>
      </c>
      <c r="T10" s="68"/>
      <c r="U10" s="68"/>
      <c r="V10" s="68"/>
      <c r="W10" s="68"/>
      <c r="X10" s="68"/>
      <c r="Y10" s="68"/>
      <c r="Z10" s="68"/>
      <c r="AA10" s="68"/>
      <c r="AB10" s="68"/>
      <c r="AC10" s="68"/>
      <c r="AD10" s="68"/>
      <c r="AE10" s="68"/>
      <c r="AF10" s="69">
        <f t="shared" ref="AF10:AF13" si="1">SUM(T10:AE10)</f>
        <v>0</v>
      </c>
      <c r="AG10" s="68"/>
      <c r="AH10" s="68"/>
      <c r="AI10" s="68"/>
      <c r="AJ10" s="68"/>
      <c r="AK10" s="68"/>
      <c r="AL10" s="68"/>
      <c r="AM10" s="68"/>
      <c r="AN10" s="68"/>
      <c r="AO10" s="68"/>
      <c r="AP10" s="68"/>
      <c r="AQ10" s="68"/>
      <c r="AR10" s="68"/>
      <c r="AS10" s="69">
        <f t="shared" ref="AS10:AS13" si="2">SUM(AG10:AR10)</f>
        <v>0</v>
      </c>
      <c r="AT10" s="68"/>
      <c r="AU10" s="68"/>
      <c r="AV10" s="68"/>
      <c r="AW10" s="68"/>
      <c r="AX10" s="68"/>
      <c r="AY10" s="68"/>
      <c r="AZ10" s="68"/>
      <c r="BA10" s="68"/>
      <c r="BB10" s="68"/>
      <c r="BC10" s="68"/>
      <c r="BD10" s="68"/>
      <c r="BE10" s="68"/>
      <c r="BF10" s="69">
        <f t="shared" ref="BF10:BF13" si="3">SUM(AT10:BE10)</f>
        <v>0</v>
      </c>
      <c r="BG10" s="68"/>
      <c r="BH10" s="68"/>
      <c r="BI10" s="68"/>
      <c r="BJ10" s="68"/>
      <c r="BK10" s="68"/>
      <c r="BL10" s="68"/>
      <c r="BM10" s="68"/>
      <c r="BN10" s="68"/>
      <c r="BO10" s="68"/>
      <c r="BP10" s="68"/>
      <c r="BQ10" s="68"/>
      <c r="BR10" s="68"/>
      <c r="BS10" s="69">
        <f t="shared" ref="BS10:BS13" si="4">SUM(BG10:BR10)</f>
        <v>0</v>
      </c>
      <c r="BT10" s="63"/>
      <c r="BU10" s="56"/>
    </row>
    <row r="11" spans="1:75" s="57" customFormat="1" ht="16" x14ac:dyDescent="0.35">
      <c r="A11" s="56"/>
      <c r="C11" s="65"/>
      <c r="D11" s="64"/>
      <c r="E11" s="66">
        <f>SUM(InvestmentPlanTable[[#This Row],[26/27 Total]]+InvestmentPlanTable[[#This Row],[27/28 Total]]+InvestmentPlanTable[[#This Row],[28/29 Total]]+InvestmentPlanTable[[#This Row],[29/30 Total]]+InvestmentPlanTable[[#This Row],[30/31 Total]])</f>
        <v>0</v>
      </c>
      <c r="F11" s="67"/>
      <c r="G11" s="68"/>
      <c r="H11" s="68"/>
      <c r="I11" s="68"/>
      <c r="J11" s="68"/>
      <c r="K11" s="68"/>
      <c r="L11" s="68"/>
      <c r="M11" s="68"/>
      <c r="N11" s="68"/>
      <c r="O11" s="68"/>
      <c r="P11" s="68"/>
      <c r="Q11" s="68"/>
      <c r="R11" s="68"/>
      <c r="S11" s="69">
        <f t="shared" si="0"/>
        <v>0</v>
      </c>
      <c r="T11" s="68"/>
      <c r="U11" s="68"/>
      <c r="V11" s="68"/>
      <c r="W11" s="68"/>
      <c r="X11" s="68"/>
      <c r="Y11" s="68"/>
      <c r="Z11" s="68"/>
      <c r="AA11" s="68"/>
      <c r="AB11" s="68"/>
      <c r="AC11" s="68"/>
      <c r="AD11" s="68"/>
      <c r="AE11" s="68"/>
      <c r="AF11" s="69">
        <f t="shared" si="1"/>
        <v>0</v>
      </c>
      <c r="AG11" s="68"/>
      <c r="AH11" s="68"/>
      <c r="AI11" s="68"/>
      <c r="AJ11" s="68"/>
      <c r="AK11" s="68"/>
      <c r="AL11" s="68"/>
      <c r="AM11" s="68"/>
      <c r="AN11" s="68"/>
      <c r="AO11" s="68"/>
      <c r="AP11" s="68"/>
      <c r="AQ11" s="68"/>
      <c r="AR11" s="68"/>
      <c r="AS11" s="69">
        <f t="shared" si="2"/>
        <v>0</v>
      </c>
      <c r="AT11" s="68"/>
      <c r="AU11" s="68"/>
      <c r="AV11" s="68"/>
      <c r="AW11" s="68"/>
      <c r="AX11" s="68"/>
      <c r="AY11" s="68"/>
      <c r="AZ11" s="68"/>
      <c r="BA11" s="68"/>
      <c r="BB11" s="68"/>
      <c r="BC11" s="68"/>
      <c r="BD11" s="68"/>
      <c r="BE11" s="68"/>
      <c r="BF11" s="69">
        <f t="shared" si="3"/>
        <v>0</v>
      </c>
      <c r="BG11" s="68"/>
      <c r="BH11" s="68"/>
      <c r="BI11" s="68"/>
      <c r="BJ11" s="68"/>
      <c r="BK11" s="68"/>
      <c r="BL11" s="68"/>
      <c r="BM11" s="68"/>
      <c r="BN11" s="68"/>
      <c r="BO11" s="68"/>
      <c r="BP11" s="68"/>
      <c r="BQ11" s="68"/>
      <c r="BR11" s="68"/>
      <c r="BS11" s="69">
        <f t="shared" si="4"/>
        <v>0</v>
      </c>
      <c r="BT11" s="63"/>
      <c r="BU11" s="56"/>
    </row>
    <row r="12" spans="1:75" s="57" customFormat="1" ht="16" x14ac:dyDescent="0.35">
      <c r="A12" s="56"/>
      <c r="C12" s="65"/>
      <c r="D12" s="64"/>
      <c r="E12" s="66">
        <f>SUM(InvestmentPlanTable[[#This Row],[26/27 Total]]+InvestmentPlanTable[[#This Row],[27/28 Total]]+InvestmentPlanTable[[#This Row],[28/29 Total]]+InvestmentPlanTable[[#This Row],[29/30 Total]]+InvestmentPlanTable[[#This Row],[30/31 Total]])</f>
        <v>0</v>
      </c>
      <c r="F12" s="67"/>
      <c r="G12" s="68"/>
      <c r="H12" s="68"/>
      <c r="I12" s="68"/>
      <c r="J12" s="68"/>
      <c r="K12" s="68"/>
      <c r="L12" s="68"/>
      <c r="M12" s="68"/>
      <c r="N12" s="68"/>
      <c r="O12" s="68"/>
      <c r="P12" s="68"/>
      <c r="Q12" s="68"/>
      <c r="R12" s="68"/>
      <c r="S12" s="69">
        <f t="shared" si="0"/>
        <v>0</v>
      </c>
      <c r="T12" s="68"/>
      <c r="U12" s="68"/>
      <c r="V12" s="68"/>
      <c r="W12" s="68"/>
      <c r="X12" s="68"/>
      <c r="Y12" s="68"/>
      <c r="Z12" s="68"/>
      <c r="AA12" s="68"/>
      <c r="AB12" s="68"/>
      <c r="AC12" s="68"/>
      <c r="AD12" s="68"/>
      <c r="AE12" s="68"/>
      <c r="AF12" s="69">
        <f t="shared" si="1"/>
        <v>0</v>
      </c>
      <c r="AG12" s="68"/>
      <c r="AH12" s="68"/>
      <c r="AI12" s="68"/>
      <c r="AJ12" s="68"/>
      <c r="AK12" s="68"/>
      <c r="AL12" s="68"/>
      <c r="AM12" s="68"/>
      <c r="AN12" s="68"/>
      <c r="AO12" s="68"/>
      <c r="AP12" s="68"/>
      <c r="AQ12" s="68"/>
      <c r="AR12" s="68"/>
      <c r="AS12" s="69">
        <f t="shared" si="2"/>
        <v>0</v>
      </c>
      <c r="AT12" s="68"/>
      <c r="AU12" s="68"/>
      <c r="AV12" s="68"/>
      <c r="AW12" s="68"/>
      <c r="AX12" s="68"/>
      <c r="AY12" s="68"/>
      <c r="AZ12" s="68"/>
      <c r="BA12" s="68"/>
      <c r="BB12" s="68"/>
      <c r="BC12" s="68"/>
      <c r="BD12" s="68"/>
      <c r="BE12" s="68"/>
      <c r="BF12" s="69">
        <f t="shared" si="3"/>
        <v>0</v>
      </c>
      <c r="BG12" s="68"/>
      <c r="BH12" s="68"/>
      <c r="BI12" s="68"/>
      <c r="BJ12" s="68"/>
      <c r="BK12" s="68"/>
      <c r="BL12" s="68"/>
      <c r="BM12" s="68"/>
      <c r="BN12" s="68"/>
      <c r="BO12" s="68"/>
      <c r="BP12" s="68"/>
      <c r="BQ12" s="68"/>
      <c r="BR12" s="68"/>
      <c r="BS12" s="69">
        <f t="shared" si="4"/>
        <v>0</v>
      </c>
      <c r="BT12" s="63"/>
      <c r="BU12" s="56"/>
    </row>
    <row r="13" spans="1:75" s="57" customFormat="1" ht="16" x14ac:dyDescent="0.35">
      <c r="A13" s="56"/>
      <c r="C13" s="65"/>
      <c r="D13" s="64"/>
      <c r="E13" s="66">
        <f>SUM(InvestmentPlanTable[[#This Row],[26/27 Total]]+InvestmentPlanTable[[#This Row],[27/28 Total]]+InvestmentPlanTable[[#This Row],[28/29 Total]]+InvestmentPlanTable[[#This Row],[29/30 Total]]+InvestmentPlanTable[[#This Row],[30/31 Total]])</f>
        <v>0</v>
      </c>
      <c r="F13" s="67"/>
      <c r="G13" s="68"/>
      <c r="H13" s="68"/>
      <c r="I13" s="68"/>
      <c r="J13" s="68"/>
      <c r="K13" s="68"/>
      <c r="L13" s="68"/>
      <c r="M13" s="68"/>
      <c r="N13" s="68"/>
      <c r="O13" s="68"/>
      <c r="P13" s="68"/>
      <c r="Q13" s="68"/>
      <c r="R13" s="68"/>
      <c r="S13" s="69">
        <f t="shared" si="0"/>
        <v>0</v>
      </c>
      <c r="T13" s="68"/>
      <c r="U13" s="68"/>
      <c r="V13" s="68"/>
      <c r="W13" s="68"/>
      <c r="X13" s="68"/>
      <c r="Y13" s="68"/>
      <c r="Z13" s="68"/>
      <c r="AA13" s="68"/>
      <c r="AB13" s="68"/>
      <c r="AC13" s="68"/>
      <c r="AD13" s="68"/>
      <c r="AE13" s="68"/>
      <c r="AF13" s="69">
        <f t="shared" si="1"/>
        <v>0</v>
      </c>
      <c r="AG13" s="68"/>
      <c r="AH13" s="68"/>
      <c r="AI13" s="68"/>
      <c r="AJ13" s="68"/>
      <c r="AK13" s="68"/>
      <c r="AL13" s="68"/>
      <c r="AM13" s="68"/>
      <c r="AN13" s="68"/>
      <c r="AO13" s="68"/>
      <c r="AP13" s="68"/>
      <c r="AQ13" s="68"/>
      <c r="AR13" s="68"/>
      <c r="AS13" s="69">
        <f t="shared" si="2"/>
        <v>0</v>
      </c>
      <c r="AT13" s="68"/>
      <c r="AU13" s="68"/>
      <c r="AV13" s="68"/>
      <c r="AW13" s="68"/>
      <c r="AX13" s="68"/>
      <c r="AY13" s="68"/>
      <c r="AZ13" s="68"/>
      <c r="BA13" s="68"/>
      <c r="BB13" s="68"/>
      <c r="BC13" s="68"/>
      <c r="BD13" s="68"/>
      <c r="BE13" s="68"/>
      <c r="BF13" s="69">
        <f t="shared" si="3"/>
        <v>0</v>
      </c>
      <c r="BG13" s="68"/>
      <c r="BH13" s="68"/>
      <c r="BI13" s="68"/>
      <c r="BJ13" s="68"/>
      <c r="BK13" s="68"/>
      <c r="BL13" s="68"/>
      <c r="BM13" s="68"/>
      <c r="BN13" s="68"/>
      <c r="BO13" s="68"/>
      <c r="BP13" s="68"/>
      <c r="BQ13" s="68"/>
      <c r="BR13" s="68"/>
      <c r="BS13" s="69">
        <f t="shared" si="4"/>
        <v>0</v>
      </c>
      <c r="BT13" s="63"/>
      <c r="BU13" s="56"/>
    </row>
    <row r="14" spans="1:75" s="57" customFormat="1" ht="16.5" thickBot="1" x14ac:dyDescent="0.4">
      <c r="A14" s="56"/>
      <c r="C14" s="65"/>
      <c r="D14" s="70"/>
      <c r="E14" s="66">
        <f>SUM(InvestmentPlanTable[[#This Row],[26/27 Total]]+InvestmentPlanTable[[#This Row],[27/28 Total]]+InvestmentPlanTable[[#This Row],[28/29 Total]]+InvestmentPlanTable[[#This Row],[29/30 Total]]+InvestmentPlanTable[[#This Row],[30/31 Total]])</f>
        <v>0</v>
      </c>
      <c r="F14" s="67"/>
      <c r="G14" s="68"/>
      <c r="H14" s="68"/>
      <c r="I14" s="68"/>
      <c r="J14" s="68"/>
      <c r="K14" s="68"/>
      <c r="L14" s="68"/>
      <c r="M14" s="68"/>
      <c r="N14" s="68"/>
      <c r="O14" s="68"/>
      <c r="P14" s="68"/>
      <c r="Q14" s="68"/>
      <c r="R14" s="68"/>
      <c r="S14" s="69">
        <f>SUM(G14:R14)</f>
        <v>0</v>
      </c>
      <c r="T14" s="68"/>
      <c r="U14" s="68"/>
      <c r="V14" s="68"/>
      <c r="W14" s="68"/>
      <c r="X14" s="68"/>
      <c r="Y14" s="68"/>
      <c r="Z14" s="68"/>
      <c r="AA14" s="68"/>
      <c r="AB14" s="68"/>
      <c r="AC14" s="68"/>
      <c r="AD14" s="68"/>
      <c r="AE14" s="68"/>
      <c r="AF14" s="69">
        <f>SUM(T14:AE14)</f>
        <v>0</v>
      </c>
      <c r="AG14" s="68"/>
      <c r="AH14" s="68"/>
      <c r="AI14" s="68"/>
      <c r="AJ14" s="68"/>
      <c r="AK14" s="68"/>
      <c r="AL14" s="68"/>
      <c r="AM14" s="68"/>
      <c r="AN14" s="68"/>
      <c r="AO14" s="68"/>
      <c r="AP14" s="68"/>
      <c r="AQ14" s="68"/>
      <c r="AR14" s="68"/>
      <c r="AS14" s="69">
        <f>SUM(AG14:AR14)</f>
        <v>0</v>
      </c>
      <c r="AT14" s="68"/>
      <c r="AU14" s="68"/>
      <c r="AV14" s="68"/>
      <c r="AW14" s="68"/>
      <c r="AX14" s="68"/>
      <c r="AY14" s="68"/>
      <c r="AZ14" s="68"/>
      <c r="BA14" s="68"/>
      <c r="BB14" s="68"/>
      <c r="BC14" s="68"/>
      <c r="BD14" s="68"/>
      <c r="BE14" s="68"/>
      <c r="BF14" s="69">
        <f>SUM(AT14:BE14)</f>
        <v>0</v>
      </c>
      <c r="BG14" s="68"/>
      <c r="BH14" s="68"/>
      <c r="BI14" s="68"/>
      <c r="BJ14" s="68"/>
      <c r="BK14" s="68"/>
      <c r="BL14" s="68"/>
      <c r="BM14" s="68"/>
      <c r="BN14" s="68"/>
      <c r="BO14" s="68"/>
      <c r="BP14" s="68"/>
      <c r="BQ14" s="68"/>
      <c r="BR14" s="68"/>
      <c r="BS14" s="69">
        <f>SUM(BG14:BR14)</f>
        <v>0</v>
      </c>
      <c r="BT14" s="63"/>
      <c r="BU14" s="56"/>
    </row>
    <row r="15" spans="1:75" s="57" customFormat="1" ht="16" x14ac:dyDescent="0.35">
      <c r="A15" s="56"/>
      <c r="C15" s="71" t="s">
        <v>91</v>
      </c>
      <c r="D15" s="71"/>
      <c r="E15" s="75">
        <f>SUBTOTAL(109,InvestmentPlanTable[Investment Value (£000)])</f>
        <v>0</v>
      </c>
      <c r="F15" s="72"/>
      <c r="G15" s="73">
        <f>SUBTOTAL(109,InvestmentPlanTable[Apr-26])</f>
        <v>0</v>
      </c>
      <c r="H15" s="73">
        <f>SUBTOTAL(109,InvestmentPlanTable[May-26])</f>
        <v>0</v>
      </c>
      <c r="I15" s="73">
        <f>SUBTOTAL(109,InvestmentPlanTable[Jun-26])</f>
        <v>0</v>
      </c>
      <c r="J15" s="73">
        <f>SUBTOTAL(109,InvestmentPlanTable[Jul-26])</f>
        <v>0</v>
      </c>
      <c r="K15" s="73">
        <f>SUBTOTAL(109,InvestmentPlanTable[Aug-26])</f>
        <v>0</v>
      </c>
      <c r="L15" s="73">
        <f>SUBTOTAL(109,InvestmentPlanTable[Sep-26])</f>
        <v>0</v>
      </c>
      <c r="M15" s="73">
        <f>SUBTOTAL(109,InvestmentPlanTable[Oct-26])</f>
        <v>0</v>
      </c>
      <c r="N15" s="73">
        <f>SUBTOTAL(109,InvestmentPlanTable[Nov-26])</f>
        <v>0</v>
      </c>
      <c r="O15" s="73">
        <f>SUBTOTAL(109,InvestmentPlanTable[Dec-26])</f>
        <v>0</v>
      </c>
      <c r="P15" s="73">
        <f>SUBTOTAL(109,InvestmentPlanTable[Jan-27])</f>
        <v>0</v>
      </c>
      <c r="Q15" s="73">
        <f>SUBTOTAL(109,InvestmentPlanTable[Feb-27])</f>
        <v>0</v>
      </c>
      <c r="R15" s="73">
        <f>SUBTOTAL(109,InvestmentPlanTable[Mar-27])</f>
        <v>0</v>
      </c>
      <c r="S15" s="74">
        <f>SUBTOTAL(109,InvestmentPlanTable[26/27 Total])</f>
        <v>0</v>
      </c>
      <c r="T15" s="73">
        <f>SUBTOTAL(109,InvestmentPlanTable[Apr-27])</f>
        <v>0</v>
      </c>
      <c r="U15" s="73">
        <f>SUBTOTAL(109,InvestmentPlanTable[May-27])</f>
        <v>0</v>
      </c>
      <c r="V15" s="73">
        <f>SUBTOTAL(109,InvestmentPlanTable[Jun-27])</f>
        <v>0</v>
      </c>
      <c r="W15" s="73">
        <f>SUBTOTAL(109,InvestmentPlanTable[Jul-27])</f>
        <v>0</v>
      </c>
      <c r="X15" s="73">
        <f>SUBTOTAL(109,InvestmentPlanTable[Aug-27])</f>
        <v>0</v>
      </c>
      <c r="Y15" s="73">
        <f>SUBTOTAL(109,InvestmentPlanTable[Sep-27])</f>
        <v>0</v>
      </c>
      <c r="Z15" s="73">
        <f>SUBTOTAL(109,InvestmentPlanTable[Oct-27])</f>
        <v>0</v>
      </c>
      <c r="AA15" s="73">
        <f>SUBTOTAL(109,InvestmentPlanTable[Nov-27])</f>
        <v>0</v>
      </c>
      <c r="AB15" s="73">
        <f>SUBTOTAL(109,InvestmentPlanTable[Dec-27])</f>
        <v>0</v>
      </c>
      <c r="AC15" s="73">
        <f>SUBTOTAL(109,InvestmentPlanTable[Jan-28])</f>
        <v>0</v>
      </c>
      <c r="AD15" s="73">
        <f>SUBTOTAL(109,InvestmentPlanTable[Feb-28])</f>
        <v>0</v>
      </c>
      <c r="AE15" s="73">
        <f>SUBTOTAL(109,InvestmentPlanTable[Mar-28])</f>
        <v>0</v>
      </c>
      <c r="AF15" s="74">
        <f>SUBTOTAL(109,InvestmentPlanTable[27/28 Total])</f>
        <v>0</v>
      </c>
      <c r="AG15" s="73">
        <f>SUBTOTAL(109,InvestmentPlanTable[Apr-28])</f>
        <v>0</v>
      </c>
      <c r="AH15" s="73">
        <f>SUBTOTAL(109,InvestmentPlanTable[May-28])</f>
        <v>0</v>
      </c>
      <c r="AI15" s="73">
        <f>SUBTOTAL(109,InvestmentPlanTable[Jun-28])</f>
        <v>0</v>
      </c>
      <c r="AJ15" s="73">
        <f>SUBTOTAL(109,InvestmentPlanTable[Jul-28])</f>
        <v>0</v>
      </c>
      <c r="AK15" s="73">
        <f>SUBTOTAL(109,InvestmentPlanTable[Aug-28])</f>
        <v>0</v>
      </c>
      <c r="AL15" s="73">
        <f>SUBTOTAL(109,InvestmentPlanTable[Sep-28])</f>
        <v>0</v>
      </c>
      <c r="AM15" s="73">
        <f>SUBTOTAL(109,InvestmentPlanTable[Oct-28])</f>
        <v>0</v>
      </c>
      <c r="AN15" s="73">
        <f>SUBTOTAL(109,InvestmentPlanTable[Nov-28])</f>
        <v>0</v>
      </c>
      <c r="AO15" s="73">
        <f>SUBTOTAL(109,InvestmentPlanTable[Dec-28])</f>
        <v>0</v>
      </c>
      <c r="AP15" s="73">
        <f>SUBTOTAL(109,InvestmentPlanTable[Jan-29])</f>
        <v>0</v>
      </c>
      <c r="AQ15" s="73">
        <f>SUBTOTAL(109,InvestmentPlanTable[Feb-29])</f>
        <v>0</v>
      </c>
      <c r="AR15" s="73">
        <f>SUBTOTAL(109,InvestmentPlanTable[Mar-29])</f>
        <v>0</v>
      </c>
      <c r="AS15" s="74">
        <f>SUBTOTAL(109,InvestmentPlanTable[28/29 Total])</f>
        <v>0</v>
      </c>
      <c r="AT15" s="73">
        <f>SUBTOTAL(109,InvestmentPlanTable[Apr-29])</f>
        <v>0</v>
      </c>
      <c r="AU15" s="73">
        <f>SUBTOTAL(109,InvestmentPlanTable[May-29])</f>
        <v>0</v>
      </c>
      <c r="AV15" s="73">
        <f>SUBTOTAL(109,InvestmentPlanTable[Jun-29])</f>
        <v>0</v>
      </c>
      <c r="AW15" s="73">
        <f>SUBTOTAL(109,InvestmentPlanTable[Jul-29])</f>
        <v>0</v>
      </c>
      <c r="AX15" s="73">
        <f>SUBTOTAL(109,InvestmentPlanTable[Aug-29])</f>
        <v>0</v>
      </c>
      <c r="AY15" s="73">
        <f>SUBTOTAL(109,InvestmentPlanTable[Sep-29])</f>
        <v>0</v>
      </c>
      <c r="AZ15" s="73">
        <f>SUBTOTAL(109,InvestmentPlanTable[Oct-29])</f>
        <v>0</v>
      </c>
      <c r="BA15" s="73">
        <f>SUBTOTAL(109,InvestmentPlanTable[Nov-29])</f>
        <v>0</v>
      </c>
      <c r="BB15" s="73">
        <f>SUBTOTAL(109,InvestmentPlanTable[Dec-29])</f>
        <v>0</v>
      </c>
      <c r="BC15" s="73">
        <f>SUBTOTAL(109,InvestmentPlanTable[Jan-30])</f>
        <v>0</v>
      </c>
      <c r="BD15" s="73">
        <f>SUBTOTAL(109,InvestmentPlanTable[Feb-30])</f>
        <v>0</v>
      </c>
      <c r="BE15" s="73">
        <f>SUBTOTAL(109,InvestmentPlanTable[Mar-30])</f>
        <v>0</v>
      </c>
      <c r="BF15" s="74">
        <f>SUBTOTAL(109,InvestmentPlanTable[29/30 Total])</f>
        <v>0</v>
      </c>
      <c r="BG15" s="73">
        <f>SUBTOTAL(109,InvestmentPlanTable[Apr-30])</f>
        <v>0</v>
      </c>
      <c r="BH15" s="73">
        <f>SUBTOTAL(109,InvestmentPlanTable[May-30])</f>
        <v>0</v>
      </c>
      <c r="BI15" s="73">
        <f>SUBTOTAL(109,InvestmentPlanTable[Jun-30])</f>
        <v>0</v>
      </c>
      <c r="BJ15" s="73">
        <f>SUBTOTAL(109,InvestmentPlanTable[Jul-30])</f>
        <v>0</v>
      </c>
      <c r="BK15" s="73">
        <f>SUBTOTAL(109,InvestmentPlanTable[Aug-30])</f>
        <v>0</v>
      </c>
      <c r="BL15" s="73">
        <f>SUBTOTAL(109,InvestmentPlanTable[Sep-30])</f>
        <v>0</v>
      </c>
      <c r="BM15" s="73">
        <f>SUBTOTAL(109,InvestmentPlanTable[Oct-30])</f>
        <v>0</v>
      </c>
      <c r="BN15" s="73">
        <f>SUBTOTAL(109,InvestmentPlanTable[Nov-30])</f>
        <v>0</v>
      </c>
      <c r="BO15" s="73">
        <f>SUBTOTAL(109,InvestmentPlanTable[Dec-30])</f>
        <v>0</v>
      </c>
      <c r="BP15" s="73">
        <f>SUBTOTAL(109,InvestmentPlanTable[Jan-31])</f>
        <v>0</v>
      </c>
      <c r="BQ15" s="73">
        <f>SUBTOTAL(109,InvestmentPlanTable[Feb-31])</f>
        <v>0</v>
      </c>
      <c r="BR15" s="73">
        <f>SUBTOTAL(109,InvestmentPlanTable[Mar-31])</f>
        <v>0</v>
      </c>
      <c r="BS15" s="74">
        <f>SUBTOTAL(109,InvestmentPlanTable[30/31 Total])</f>
        <v>0</v>
      </c>
      <c r="BT15" s="63"/>
      <c r="BU15" s="56"/>
    </row>
  </sheetData>
  <dataValidations count="1">
    <dataValidation type="list" allowBlank="1" showInputMessage="1" showErrorMessage="1" sqref="C7:C14" xr:uid="{0181A789-3C51-492A-9163-B9815A5D6B93}">
      <formula1>InvestmentCategory</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AFDB1A1-5A3D-4487-8D2A-F53FC8AC9326}">
          <x14:formula1>
            <xm:f>Lists!$A$9:$A$10</xm:f>
          </x14:formula1>
          <xm:sqref>F7:F14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9B1A7-3F21-4E45-B400-2274EA7A7890}">
  <sheetPr>
    <tabColor theme="9" tint="0.59999389629810485"/>
  </sheetPr>
  <dimension ref="A2:BW26"/>
  <sheetViews>
    <sheetView showGridLines="0" zoomScale="85" zoomScaleNormal="85" workbookViewId="0">
      <selection activeCell="B1" sqref="B1"/>
    </sheetView>
  </sheetViews>
  <sheetFormatPr defaultColWidth="0" defaultRowHeight="14.5" x14ac:dyDescent="0.35"/>
  <cols>
    <col min="1" max="1" width="2.7265625" style="18" customWidth="1"/>
    <col min="2" max="2" width="2.7265625" customWidth="1"/>
    <col min="3" max="3" width="26.81640625" customWidth="1"/>
    <col min="4" max="4" width="61.453125" customWidth="1"/>
    <col min="5" max="5" width="38.08984375" customWidth="1"/>
    <col min="6" max="6" width="63.81640625" customWidth="1"/>
    <col min="7" max="7" width="26.1796875" style="57" customWidth="1"/>
    <col min="8" max="8" width="31.54296875" customWidth="1"/>
    <col min="9" max="9" width="10.26953125" style="57" customWidth="1"/>
    <col min="10" max="10" width="10.81640625" style="57" customWidth="1"/>
    <col min="11" max="11" width="10.1796875" style="57" customWidth="1"/>
    <col min="12" max="12" width="9.453125" style="57" customWidth="1"/>
    <col min="13" max="13" width="10.7265625" style="57" customWidth="1"/>
    <col min="14" max="14" width="10.1796875" style="57" customWidth="1"/>
    <col min="15" max="15" width="10" style="57" customWidth="1"/>
    <col min="16" max="16" width="10.7265625" style="57" customWidth="1"/>
    <col min="17" max="17" width="10.26953125" style="57" customWidth="1"/>
    <col min="18" max="18" width="10" style="57" customWidth="1"/>
    <col min="19" max="19" width="10.1796875" style="57" customWidth="1"/>
    <col min="20" max="20" width="10.54296875" style="57" customWidth="1"/>
    <col min="21" max="21" width="15" style="57" customWidth="1"/>
    <col min="22" max="22" width="10.26953125" style="57" customWidth="1"/>
    <col min="23" max="23" width="10.81640625" style="57" customWidth="1"/>
    <col min="24" max="24" width="10.1796875" style="57" customWidth="1"/>
    <col min="25" max="25" width="9.453125" style="57" customWidth="1"/>
    <col min="26" max="26" width="10.7265625" style="57" customWidth="1"/>
    <col min="27" max="27" width="10.1796875" style="57" customWidth="1"/>
    <col min="28" max="28" width="10" style="57" customWidth="1"/>
    <col min="29" max="29" width="10.7265625" style="57" customWidth="1"/>
    <col min="30" max="30" width="10.26953125" style="57" customWidth="1"/>
    <col min="31" max="31" width="10" style="57" customWidth="1"/>
    <col min="32" max="32" width="10.1796875" style="57" customWidth="1"/>
    <col min="33" max="33" width="10.54296875" style="57" customWidth="1"/>
    <col min="34" max="34" width="15" style="57" customWidth="1"/>
    <col min="35" max="35" width="10.26953125" style="57" customWidth="1"/>
    <col min="36" max="36" width="10.81640625" style="57" customWidth="1"/>
    <col min="37" max="37" width="10.1796875" style="57" customWidth="1"/>
    <col min="38" max="38" width="9.453125" style="57" customWidth="1"/>
    <col min="39" max="39" width="10.7265625" style="57" customWidth="1"/>
    <col min="40" max="40" width="10.1796875" style="57" customWidth="1"/>
    <col min="41" max="41" width="10" style="57" customWidth="1"/>
    <col min="42" max="42" width="10.7265625" style="57" customWidth="1"/>
    <col min="43" max="43" width="10.26953125" style="57" customWidth="1"/>
    <col min="44" max="44" width="10" style="57" customWidth="1"/>
    <col min="45" max="45" width="10.1796875" style="57" customWidth="1"/>
    <col min="46" max="46" width="10.54296875" style="57" customWidth="1"/>
    <col min="47" max="47" width="15" style="57" customWidth="1"/>
    <col min="48" max="48" width="10.26953125" style="57" customWidth="1"/>
    <col min="49" max="49" width="10.81640625" style="57" customWidth="1"/>
    <col min="50" max="50" width="10.1796875" style="57" customWidth="1"/>
    <col min="51" max="51" width="9.453125" style="57" customWidth="1"/>
    <col min="52" max="52" width="10.7265625" style="57" customWidth="1"/>
    <col min="53" max="53" width="10.1796875" style="57" customWidth="1"/>
    <col min="54" max="54" width="10" style="57" customWidth="1"/>
    <col min="55" max="55" width="10.7265625" style="57" customWidth="1"/>
    <col min="56" max="56" width="10.26953125" style="57" customWidth="1"/>
    <col min="57" max="57" width="10" style="57" customWidth="1"/>
    <col min="58" max="58" width="10.1796875" style="57" customWidth="1"/>
    <col min="59" max="59" width="10.54296875" style="57" customWidth="1"/>
    <col min="60" max="60" width="15" style="57" customWidth="1"/>
    <col min="61" max="61" width="10.26953125" style="57" customWidth="1"/>
    <col min="62" max="62" width="10.81640625" style="57" customWidth="1"/>
    <col min="63" max="63" width="10.1796875" style="57" customWidth="1"/>
    <col min="64" max="64" width="9.453125" style="57" customWidth="1"/>
    <col min="65" max="65" width="10.7265625" style="57" customWidth="1"/>
    <col min="66" max="66" width="10.1796875" style="57" customWidth="1"/>
    <col min="67" max="67" width="10" style="57" customWidth="1"/>
    <col min="68" max="68" width="10.7265625" style="57" customWidth="1"/>
    <col min="69" max="69" width="10.26953125" style="57" customWidth="1"/>
    <col min="70" max="70" width="10" style="57" customWidth="1"/>
    <col min="71" max="71" width="10.1796875" style="57" customWidth="1"/>
    <col min="72" max="72" width="10.54296875" style="57" customWidth="1"/>
    <col min="73" max="73" width="15" style="57" customWidth="1"/>
    <col min="74" max="74" width="2.7265625" customWidth="1"/>
    <col min="75" max="75" width="9.1796875" style="18" customWidth="1"/>
    <col min="76" max="16384" width="9.1796875" hidden="1"/>
  </cols>
  <sheetData>
    <row r="2" spans="1:73" ht="31" x14ac:dyDescent="0.7">
      <c r="A2" s="25"/>
      <c r="C2" s="23" t="str">
        <f>ApplicationTitle</f>
        <v>Transformation Funding Worksheet - DLN Transformation Fund</v>
      </c>
      <c r="D2" s="23"/>
      <c r="E2" s="23"/>
    </row>
    <row r="3" spans="1:73" ht="16.5" x14ac:dyDescent="0.35">
      <c r="C3" s="24" t="s">
        <v>203</v>
      </c>
      <c r="D3" s="24"/>
      <c r="E3" s="24"/>
      <c r="F3" s="24"/>
      <c r="G3" s="92"/>
      <c r="H3" s="24"/>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row>
    <row r="6" spans="1:73" ht="16.5" x14ac:dyDescent="0.35">
      <c r="G6" s="98" t="s">
        <v>204</v>
      </c>
      <c r="H6" s="47" t="s">
        <v>205</v>
      </c>
      <c r="I6" s="103" t="s">
        <v>131</v>
      </c>
      <c r="J6" s="103" t="s">
        <v>132</v>
      </c>
      <c r="K6" s="103" t="s">
        <v>133</v>
      </c>
      <c r="L6" s="103" t="s">
        <v>134</v>
      </c>
      <c r="M6" s="103" t="s">
        <v>135</v>
      </c>
      <c r="N6" s="103" t="s">
        <v>136</v>
      </c>
      <c r="O6" s="103" t="s">
        <v>137</v>
      </c>
      <c r="P6" s="103" t="s">
        <v>138</v>
      </c>
      <c r="Q6" s="103" t="s">
        <v>139</v>
      </c>
      <c r="R6" s="103" t="s">
        <v>140</v>
      </c>
      <c r="S6" s="103" t="s">
        <v>141</v>
      </c>
      <c r="T6" s="103" t="s">
        <v>142</v>
      </c>
      <c r="U6" s="104" t="s">
        <v>143</v>
      </c>
      <c r="V6" s="103" t="s">
        <v>144</v>
      </c>
      <c r="W6" s="103" t="s">
        <v>145</v>
      </c>
      <c r="X6" s="103" t="s">
        <v>146</v>
      </c>
      <c r="Y6" s="103" t="s">
        <v>147</v>
      </c>
      <c r="Z6" s="103" t="s">
        <v>148</v>
      </c>
      <c r="AA6" s="103" t="s">
        <v>149</v>
      </c>
      <c r="AB6" s="103" t="s">
        <v>150</v>
      </c>
      <c r="AC6" s="103" t="s">
        <v>151</v>
      </c>
      <c r="AD6" s="103" t="s">
        <v>152</v>
      </c>
      <c r="AE6" s="103" t="s">
        <v>153</v>
      </c>
      <c r="AF6" s="103" t="s">
        <v>154</v>
      </c>
      <c r="AG6" s="103" t="s">
        <v>155</v>
      </c>
      <c r="AH6" s="104" t="s">
        <v>156</v>
      </c>
      <c r="AI6" s="103" t="s">
        <v>157</v>
      </c>
      <c r="AJ6" s="103" t="s">
        <v>158</v>
      </c>
      <c r="AK6" s="103" t="s">
        <v>159</v>
      </c>
      <c r="AL6" s="103" t="s">
        <v>160</v>
      </c>
      <c r="AM6" s="103" t="s">
        <v>161</v>
      </c>
      <c r="AN6" s="103" t="s">
        <v>162</v>
      </c>
      <c r="AO6" s="103" t="s">
        <v>163</v>
      </c>
      <c r="AP6" s="103" t="s">
        <v>164</v>
      </c>
      <c r="AQ6" s="103" t="s">
        <v>165</v>
      </c>
      <c r="AR6" s="103" t="s">
        <v>166</v>
      </c>
      <c r="AS6" s="103" t="s">
        <v>167</v>
      </c>
      <c r="AT6" s="103" t="s">
        <v>168</v>
      </c>
      <c r="AU6" s="104" t="s">
        <v>169</v>
      </c>
      <c r="AV6" s="103" t="s">
        <v>170</v>
      </c>
      <c r="AW6" s="103" t="s">
        <v>171</v>
      </c>
      <c r="AX6" s="103" t="s">
        <v>172</v>
      </c>
      <c r="AY6" s="103" t="s">
        <v>173</v>
      </c>
      <c r="AZ6" s="103" t="s">
        <v>174</v>
      </c>
      <c r="BA6" s="103" t="s">
        <v>175</v>
      </c>
      <c r="BB6" s="103" t="s">
        <v>176</v>
      </c>
      <c r="BC6" s="103" t="s">
        <v>177</v>
      </c>
      <c r="BD6" s="103" t="s">
        <v>178</v>
      </c>
      <c r="BE6" s="103" t="s">
        <v>179</v>
      </c>
      <c r="BF6" s="103" t="s">
        <v>180</v>
      </c>
      <c r="BG6" s="103" t="s">
        <v>181</v>
      </c>
      <c r="BH6" s="104" t="s">
        <v>182</v>
      </c>
      <c r="BI6" s="103" t="s">
        <v>183</v>
      </c>
      <c r="BJ6" s="103" t="s">
        <v>184</v>
      </c>
      <c r="BK6" s="103" t="s">
        <v>185</v>
      </c>
      <c r="BL6" s="103" t="s">
        <v>186</v>
      </c>
      <c r="BM6" s="103" t="s">
        <v>187</v>
      </c>
      <c r="BN6" s="103" t="s">
        <v>188</v>
      </c>
      <c r="BO6" s="103" t="s">
        <v>189</v>
      </c>
      <c r="BP6" s="103" t="s">
        <v>190</v>
      </c>
      <c r="BQ6" s="103" t="s">
        <v>191</v>
      </c>
      <c r="BR6" s="103" t="s">
        <v>192</v>
      </c>
      <c r="BS6" s="103" t="s">
        <v>193</v>
      </c>
      <c r="BT6" s="103" t="s">
        <v>194</v>
      </c>
      <c r="BU6" s="104" t="s">
        <v>195</v>
      </c>
    </row>
    <row r="7" spans="1:73" ht="16.5" thickBot="1" x14ac:dyDescent="0.4">
      <c r="G7" s="99" t="s">
        <v>108</v>
      </c>
      <c r="H7" s="53">
        <f>SUM(SavingPlanTable[Gross Savings (£000)])</f>
        <v>0</v>
      </c>
      <c r="I7" s="68">
        <f>SUM(SavingPlanTable[Apr-26])</f>
        <v>0</v>
      </c>
      <c r="J7" s="68">
        <f>SUM(SavingPlanTable[May-26])</f>
        <v>0</v>
      </c>
      <c r="K7" s="68">
        <f>SUM(SavingPlanTable[Jun-26])</f>
        <v>0</v>
      </c>
      <c r="L7" s="68">
        <f>SUM(SavingPlanTable[Jul-26])</f>
        <v>0</v>
      </c>
      <c r="M7" s="68">
        <f>SUM(SavingPlanTable[Aug-26])</f>
        <v>0</v>
      </c>
      <c r="N7" s="68">
        <f>SUM(SavingPlanTable[Sep-26])</f>
        <v>0</v>
      </c>
      <c r="O7" s="68">
        <f>SUM(SavingPlanTable[Oct-26])</f>
        <v>0</v>
      </c>
      <c r="P7" s="68">
        <f>SUM(SavingPlanTable[Nov-26])</f>
        <v>0</v>
      </c>
      <c r="Q7" s="68">
        <f>SUM(SavingPlanTable[Dec-26])</f>
        <v>0</v>
      </c>
      <c r="R7" s="68">
        <f>SUM(SavingPlanTable[Jan-27])</f>
        <v>0</v>
      </c>
      <c r="S7" s="68">
        <f>SUM(SavingPlanTable[Feb-27])</f>
        <v>0</v>
      </c>
      <c r="T7" s="68">
        <f>SUM(SavingPlanTable[Mar-27])</f>
        <v>0</v>
      </c>
      <c r="U7" s="69">
        <f>SUM(SavingPlanTable[26/27 Total])</f>
        <v>0</v>
      </c>
      <c r="V7" s="68">
        <f>SUM(SavingPlanTable[Apr-27])</f>
        <v>0</v>
      </c>
      <c r="W7" s="68">
        <f>SUM(SavingPlanTable[May-27])</f>
        <v>0</v>
      </c>
      <c r="X7" s="68">
        <f>SUM(SavingPlanTable[Jun-27])</f>
        <v>0</v>
      </c>
      <c r="Y7" s="68">
        <f>SUM(SavingPlanTable[Jul-27])</f>
        <v>0</v>
      </c>
      <c r="Z7" s="68">
        <f>SUM(SavingPlanTable[Aug-27])</f>
        <v>0</v>
      </c>
      <c r="AA7" s="68">
        <f>SUM(SavingPlanTable[Sep-27])</f>
        <v>0</v>
      </c>
      <c r="AB7" s="68">
        <f>SUM(SavingPlanTable[Oct-27])</f>
        <v>0</v>
      </c>
      <c r="AC7" s="68">
        <f>SUM(SavingPlanTable[Nov-27])</f>
        <v>0</v>
      </c>
      <c r="AD7" s="68">
        <f>SUM(SavingPlanTable[Dec-27])</f>
        <v>0</v>
      </c>
      <c r="AE7" s="68">
        <f>SUM(SavingPlanTable[Jan-28])</f>
        <v>0</v>
      </c>
      <c r="AF7" s="68">
        <f>SUM(SavingPlanTable[Feb-28])</f>
        <v>0</v>
      </c>
      <c r="AG7" s="68">
        <f>SUM(SavingPlanTable[Mar-28])</f>
        <v>0</v>
      </c>
      <c r="AH7" s="68">
        <f>SUM(SavingPlanTable[27/28 Total])</f>
        <v>0</v>
      </c>
      <c r="AI7" s="68">
        <f>SUM(SavingPlanTable[Apr-28])</f>
        <v>0</v>
      </c>
      <c r="AJ7" s="68">
        <f>SUM(SavingPlanTable[May-28])</f>
        <v>0</v>
      </c>
      <c r="AK7" s="68">
        <f>SUM(SavingPlanTable[Jun-28])</f>
        <v>0</v>
      </c>
      <c r="AL7" s="68">
        <f>SUM(SavingPlanTable[Jul-28])</f>
        <v>0</v>
      </c>
      <c r="AM7" s="68">
        <f>SUM(SavingPlanTable[Aug-28])</f>
        <v>0</v>
      </c>
      <c r="AN7" s="68">
        <f>SUM(SavingPlanTable[Sep-28])</f>
        <v>0</v>
      </c>
      <c r="AO7" s="68">
        <f>SUM(SavingPlanTable[Oct-28])</f>
        <v>0</v>
      </c>
      <c r="AP7" s="68">
        <f>SUM(SavingPlanTable[Nov-28])</f>
        <v>0</v>
      </c>
      <c r="AQ7" s="68">
        <f>SUM(SavingPlanTable[Dec-28])</f>
        <v>0</v>
      </c>
      <c r="AR7" s="68">
        <f>SUM(SavingPlanTable[Jan-29])</f>
        <v>0</v>
      </c>
      <c r="AS7" s="68">
        <f>SUM(SavingPlanTable[Feb-29])</f>
        <v>0</v>
      </c>
      <c r="AT7" s="68">
        <f>SUM(SavingPlanTable[Mar-29])</f>
        <v>0</v>
      </c>
      <c r="AU7" s="68">
        <f>SUM(SavingPlanTable[28/29 Total])</f>
        <v>0</v>
      </c>
      <c r="AV7" s="68">
        <f>SUM(SavingPlanTable[Apr-29])</f>
        <v>0</v>
      </c>
      <c r="AW7" s="68">
        <f>SUM(SavingPlanTable[May-29])</f>
        <v>0</v>
      </c>
      <c r="AX7" s="68">
        <f>SUM(SavingPlanTable[Jun-29])</f>
        <v>0</v>
      </c>
      <c r="AY7" s="68">
        <f>SUM(SavingPlanTable[Jul-29])</f>
        <v>0</v>
      </c>
      <c r="AZ7" s="68">
        <f>SUM(SavingPlanTable[Aug-29])</f>
        <v>0</v>
      </c>
      <c r="BA7" s="68">
        <f>SUM(SavingPlanTable[Sep-29])</f>
        <v>0</v>
      </c>
      <c r="BB7" s="68">
        <f>SUM(SavingPlanTable[Oct-29])</f>
        <v>0</v>
      </c>
      <c r="BC7" s="68">
        <f>SUM(SavingPlanTable[Nov-29])</f>
        <v>0</v>
      </c>
      <c r="BD7" s="68">
        <f>SUM(SavingPlanTable[Dec-29])</f>
        <v>0</v>
      </c>
      <c r="BE7" s="68">
        <f>SUM(SavingPlanTable[Jan-30])</f>
        <v>0</v>
      </c>
      <c r="BF7" s="68">
        <f>SUM(SavingPlanTable[Feb-30])</f>
        <v>0</v>
      </c>
      <c r="BG7" s="68">
        <f>SUM(SavingPlanTable[Mar-30])</f>
        <v>0</v>
      </c>
      <c r="BH7" s="68">
        <f>SUM(SavingPlanTable[29/30 Total])</f>
        <v>0</v>
      </c>
      <c r="BI7" s="68">
        <f>SUM(SavingPlanTable[Apr-30])</f>
        <v>0</v>
      </c>
      <c r="BJ7" s="68">
        <f>SUM(SavingPlanTable[May-30])</f>
        <v>0</v>
      </c>
      <c r="BK7" s="68">
        <f>SUM(SavingPlanTable[Jun-30])</f>
        <v>0</v>
      </c>
      <c r="BL7" s="68">
        <f>SUM(SavingPlanTable[Jul-30])</f>
        <v>0</v>
      </c>
      <c r="BM7" s="68">
        <f>SUM(SavingPlanTable[Aug-30])</f>
        <v>0</v>
      </c>
      <c r="BN7" s="68">
        <f>SUM(SavingPlanTable[Sep-30])</f>
        <v>0</v>
      </c>
      <c r="BO7" s="68">
        <f>SUM(SavingPlanTable[Oct-30])</f>
        <v>0</v>
      </c>
      <c r="BP7" s="68">
        <f>SUM(SavingPlanTable[Nov-30])</f>
        <v>0</v>
      </c>
      <c r="BQ7" s="68">
        <f>SUM(SavingPlanTable[Dec-30])</f>
        <v>0</v>
      </c>
      <c r="BR7" s="68">
        <f>SUM(SavingPlanTable[Jan-31])</f>
        <v>0</v>
      </c>
      <c r="BS7" s="68">
        <f>SUM(SavingPlanTable[Feb-31])</f>
        <v>0</v>
      </c>
      <c r="BT7" s="68">
        <f>SUM(SavingPlanTable[Mar-31])</f>
        <v>0</v>
      </c>
      <c r="BU7" s="68">
        <f>SUM(SavingPlanTable[30/31 Total])</f>
        <v>0</v>
      </c>
    </row>
    <row r="8" spans="1:73" ht="16" x14ac:dyDescent="0.35">
      <c r="G8" s="100" t="s">
        <v>103</v>
      </c>
      <c r="H8" s="48">
        <f>SUM(InvestmentPlanTable[Investment Value (£000)])</f>
        <v>0</v>
      </c>
      <c r="I8" s="61">
        <f>SUM(InvestmentPlanTable[Apr-26])</f>
        <v>0</v>
      </c>
      <c r="J8" s="61">
        <f>SUM(InvestmentPlanTable[May-26])</f>
        <v>0</v>
      </c>
      <c r="K8" s="61">
        <f>SUM(InvestmentPlanTable[Jun-26])</f>
        <v>0</v>
      </c>
      <c r="L8" s="61">
        <f>SUM(InvestmentPlanTable[Jul-26])</f>
        <v>0</v>
      </c>
      <c r="M8" s="61">
        <f>SUM(InvestmentPlanTable[Aug-26])</f>
        <v>0</v>
      </c>
      <c r="N8" s="61">
        <f>SUM(InvestmentPlanTable[Sep-26])</f>
        <v>0</v>
      </c>
      <c r="O8" s="61">
        <f>SUM(InvestmentPlanTable[Oct-26])</f>
        <v>0</v>
      </c>
      <c r="P8" s="61">
        <f>SUM(InvestmentPlanTable[Nov-26])</f>
        <v>0</v>
      </c>
      <c r="Q8" s="61">
        <f>SUM(InvestmentPlanTable[Dec-26])</f>
        <v>0</v>
      </c>
      <c r="R8" s="61">
        <f>SUM(InvestmentPlanTable[Jan-27])</f>
        <v>0</v>
      </c>
      <c r="S8" s="61">
        <f>SUM(InvestmentPlanTable[Feb-27])</f>
        <v>0</v>
      </c>
      <c r="T8" s="61">
        <f>SUM(InvestmentPlanTable[Mar-27])</f>
        <v>0</v>
      </c>
      <c r="U8" s="105">
        <f>SUM(InvestmentPlanTable[26/27 Total])</f>
        <v>0</v>
      </c>
      <c r="V8" s="61">
        <f>SUM(InvestmentPlanTable[Apr-27])</f>
        <v>0</v>
      </c>
      <c r="W8" s="61">
        <f>SUM(InvestmentPlanTable[May-27])</f>
        <v>0</v>
      </c>
      <c r="X8" s="61">
        <f>SUM(InvestmentPlanTable[Jun-27])</f>
        <v>0</v>
      </c>
      <c r="Y8" s="61">
        <f>SUM(InvestmentPlanTable[Jul-27])</f>
        <v>0</v>
      </c>
      <c r="Z8" s="61">
        <f>SUM(InvestmentPlanTable[Aug-27])</f>
        <v>0</v>
      </c>
      <c r="AA8" s="61">
        <f>SUM(InvestmentPlanTable[Sep-27])</f>
        <v>0</v>
      </c>
      <c r="AB8" s="61">
        <f>SUM(InvestmentPlanTable[Oct-27])</f>
        <v>0</v>
      </c>
      <c r="AC8" s="61">
        <f>SUM(InvestmentPlanTable[Nov-27])</f>
        <v>0</v>
      </c>
      <c r="AD8" s="61">
        <f>SUM(InvestmentPlanTable[Dec-27])</f>
        <v>0</v>
      </c>
      <c r="AE8" s="61">
        <f>SUM(InvestmentPlanTable[Jan-28])</f>
        <v>0</v>
      </c>
      <c r="AF8" s="61">
        <f>SUM(InvestmentPlanTable[Feb-28])</f>
        <v>0</v>
      </c>
      <c r="AG8" s="61">
        <f>SUM(InvestmentPlanTable[Mar-28])</f>
        <v>0</v>
      </c>
      <c r="AH8" s="105">
        <f>SUM(InvestmentPlanTable[27/28 Total])</f>
        <v>0</v>
      </c>
      <c r="AI8" s="61">
        <f>SUM(InvestmentPlanTable[Apr-28])</f>
        <v>0</v>
      </c>
      <c r="AJ8" s="61">
        <f>SUM(InvestmentPlanTable[May-28])</f>
        <v>0</v>
      </c>
      <c r="AK8" s="61">
        <f>SUM(InvestmentPlanTable[Jun-28])</f>
        <v>0</v>
      </c>
      <c r="AL8" s="61">
        <f>SUM(InvestmentPlanTable[Jul-28])</f>
        <v>0</v>
      </c>
      <c r="AM8" s="61">
        <f>SUM(InvestmentPlanTable[Aug-28])</f>
        <v>0</v>
      </c>
      <c r="AN8" s="61">
        <f>SUM(InvestmentPlanTable[Sep-28])</f>
        <v>0</v>
      </c>
      <c r="AO8" s="61">
        <f>SUM(InvestmentPlanTable[Oct-28])</f>
        <v>0</v>
      </c>
      <c r="AP8" s="61">
        <f>SUM(InvestmentPlanTable[Nov-28])</f>
        <v>0</v>
      </c>
      <c r="AQ8" s="61">
        <f>SUM(InvestmentPlanTable[Dec-28])</f>
        <v>0</v>
      </c>
      <c r="AR8" s="61">
        <f>SUM(InvestmentPlanTable[Jan-29])</f>
        <v>0</v>
      </c>
      <c r="AS8" s="61">
        <f>SUM(InvestmentPlanTable[Feb-29])</f>
        <v>0</v>
      </c>
      <c r="AT8" s="61">
        <f>SUM(InvestmentPlanTable[Mar-29])</f>
        <v>0</v>
      </c>
      <c r="AU8" s="105">
        <f>SUM(InvestmentPlanTable[28/29 Total])</f>
        <v>0</v>
      </c>
      <c r="AV8" s="61">
        <f>SUM(InvestmentPlanTable[Apr-29])</f>
        <v>0</v>
      </c>
      <c r="AW8" s="61">
        <f>SUM(InvestmentPlanTable[May-29])</f>
        <v>0</v>
      </c>
      <c r="AX8" s="61">
        <f>SUM(InvestmentPlanTable[Jun-29])</f>
        <v>0</v>
      </c>
      <c r="AY8" s="61">
        <f>SUM(InvestmentPlanTable[Jul-29])</f>
        <v>0</v>
      </c>
      <c r="AZ8" s="61">
        <f>SUM(InvestmentPlanTable[Aug-29])</f>
        <v>0</v>
      </c>
      <c r="BA8" s="61">
        <f>SUM(InvestmentPlanTable[Sep-29])</f>
        <v>0</v>
      </c>
      <c r="BB8" s="61">
        <f>SUM(InvestmentPlanTable[Oct-29])</f>
        <v>0</v>
      </c>
      <c r="BC8" s="61">
        <f>SUM(InvestmentPlanTable[Nov-29])</f>
        <v>0</v>
      </c>
      <c r="BD8" s="61">
        <f>SUM(InvestmentPlanTable[Dec-29])</f>
        <v>0</v>
      </c>
      <c r="BE8" s="61">
        <f>SUM(InvestmentPlanTable[Jan-30])</f>
        <v>0</v>
      </c>
      <c r="BF8" s="61">
        <f>SUM(InvestmentPlanTable[Feb-30])</f>
        <v>0</v>
      </c>
      <c r="BG8" s="61">
        <f>SUM(InvestmentPlanTable[Mar-30])</f>
        <v>0</v>
      </c>
      <c r="BH8" s="105">
        <f>SUM(InvestmentPlanTable[29/30 Total])</f>
        <v>0</v>
      </c>
      <c r="BI8" s="61">
        <f>SUM(InvestmentPlanTable[Apr-30])</f>
        <v>0</v>
      </c>
      <c r="BJ8" s="61">
        <f>SUM(InvestmentPlanTable[May-30])</f>
        <v>0</v>
      </c>
      <c r="BK8" s="61">
        <f>SUM(InvestmentPlanTable[Jun-30])</f>
        <v>0</v>
      </c>
      <c r="BL8" s="61">
        <f>SUM(InvestmentPlanTable[Jul-30])</f>
        <v>0</v>
      </c>
      <c r="BM8" s="61">
        <f>SUM(InvestmentPlanTable[Aug-30])</f>
        <v>0</v>
      </c>
      <c r="BN8" s="61">
        <f>SUM(InvestmentPlanTable[Sep-30])</f>
        <v>0</v>
      </c>
      <c r="BO8" s="61">
        <f>SUM(InvestmentPlanTable[Oct-30])</f>
        <v>0</v>
      </c>
      <c r="BP8" s="61">
        <f>SUM(InvestmentPlanTable[Nov-30])</f>
        <v>0</v>
      </c>
      <c r="BQ8" s="61">
        <f>SUM(InvestmentPlanTable[Dec-30])</f>
        <v>0</v>
      </c>
      <c r="BR8" s="61">
        <f>SUM(InvestmentPlanTable[Jan-31])</f>
        <v>0</v>
      </c>
      <c r="BS8" s="61">
        <f>SUM(InvestmentPlanTable[Feb-31])</f>
        <v>0</v>
      </c>
      <c r="BT8" s="61">
        <f>SUM(InvestmentPlanTable[Mar-31])</f>
        <v>0</v>
      </c>
      <c r="BU8" s="105">
        <f>SUM(InvestmentPlanTable[30/31 Total])</f>
        <v>0</v>
      </c>
    </row>
    <row r="9" spans="1:73" ht="16" x14ac:dyDescent="0.35">
      <c r="G9" s="101" t="s">
        <v>112</v>
      </c>
      <c r="H9" s="50">
        <f t="shared" ref="H9:AM9" si="0">H7-H8</f>
        <v>0</v>
      </c>
      <c r="I9" s="86">
        <f t="shared" si="0"/>
        <v>0</v>
      </c>
      <c r="J9" s="86">
        <f t="shared" si="0"/>
        <v>0</v>
      </c>
      <c r="K9" s="86">
        <f t="shared" si="0"/>
        <v>0</v>
      </c>
      <c r="L9" s="86">
        <f t="shared" si="0"/>
        <v>0</v>
      </c>
      <c r="M9" s="86">
        <f t="shared" si="0"/>
        <v>0</v>
      </c>
      <c r="N9" s="86">
        <f t="shared" si="0"/>
        <v>0</v>
      </c>
      <c r="O9" s="86">
        <f t="shared" si="0"/>
        <v>0</v>
      </c>
      <c r="P9" s="86">
        <f t="shared" si="0"/>
        <v>0</v>
      </c>
      <c r="Q9" s="86">
        <f t="shared" si="0"/>
        <v>0</v>
      </c>
      <c r="R9" s="86">
        <f t="shared" si="0"/>
        <v>0</v>
      </c>
      <c r="S9" s="86">
        <f t="shared" si="0"/>
        <v>0</v>
      </c>
      <c r="T9" s="86">
        <f t="shared" si="0"/>
        <v>0</v>
      </c>
      <c r="U9" s="87">
        <f t="shared" si="0"/>
        <v>0</v>
      </c>
      <c r="V9" s="86">
        <f t="shared" si="0"/>
        <v>0</v>
      </c>
      <c r="W9" s="86">
        <f t="shared" si="0"/>
        <v>0</v>
      </c>
      <c r="X9" s="86">
        <f t="shared" si="0"/>
        <v>0</v>
      </c>
      <c r="Y9" s="86">
        <f t="shared" si="0"/>
        <v>0</v>
      </c>
      <c r="Z9" s="86">
        <f t="shared" si="0"/>
        <v>0</v>
      </c>
      <c r="AA9" s="86">
        <f t="shared" si="0"/>
        <v>0</v>
      </c>
      <c r="AB9" s="86">
        <f t="shared" si="0"/>
        <v>0</v>
      </c>
      <c r="AC9" s="86">
        <f t="shared" si="0"/>
        <v>0</v>
      </c>
      <c r="AD9" s="86">
        <f t="shared" si="0"/>
        <v>0</v>
      </c>
      <c r="AE9" s="86">
        <f t="shared" si="0"/>
        <v>0</v>
      </c>
      <c r="AF9" s="86">
        <f t="shared" si="0"/>
        <v>0</v>
      </c>
      <c r="AG9" s="86">
        <f t="shared" si="0"/>
        <v>0</v>
      </c>
      <c r="AH9" s="87">
        <f t="shared" si="0"/>
        <v>0</v>
      </c>
      <c r="AI9" s="86">
        <f t="shared" si="0"/>
        <v>0</v>
      </c>
      <c r="AJ9" s="86">
        <f t="shared" si="0"/>
        <v>0</v>
      </c>
      <c r="AK9" s="86">
        <f t="shared" si="0"/>
        <v>0</v>
      </c>
      <c r="AL9" s="86">
        <f t="shared" si="0"/>
        <v>0</v>
      </c>
      <c r="AM9" s="86">
        <f t="shared" si="0"/>
        <v>0</v>
      </c>
      <c r="AN9" s="86">
        <f t="shared" ref="AN9:BS9" si="1">AN7-AN8</f>
        <v>0</v>
      </c>
      <c r="AO9" s="86">
        <f t="shared" si="1"/>
        <v>0</v>
      </c>
      <c r="AP9" s="86">
        <f t="shared" si="1"/>
        <v>0</v>
      </c>
      <c r="AQ9" s="86">
        <f t="shared" si="1"/>
        <v>0</v>
      </c>
      <c r="AR9" s="86">
        <f t="shared" si="1"/>
        <v>0</v>
      </c>
      <c r="AS9" s="86">
        <f t="shared" si="1"/>
        <v>0</v>
      </c>
      <c r="AT9" s="86">
        <f t="shared" si="1"/>
        <v>0</v>
      </c>
      <c r="AU9" s="87">
        <f t="shared" si="1"/>
        <v>0</v>
      </c>
      <c r="AV9" s="86">
        <f t="shared" si="1"/>
        <v>0</v>
      </c>
      <c r="AW9" s="86">
        <f t="shared" si="1"/>
        <v>0</v>
      </c>
      <c r="AX9" s="86">
        <f t="shared" si="1"/>
        <v>0</v>
      </c>
      <c r="AY9" s="86">
        <f t="shared" si="1"/>
        <v>0</v>
      </c>
      <c r="AZ9" s="86">
        <f t="shared" si="1"/>
        <v>0</v>
      </c>
      <c r="BA9" s="86">
        <f t="shared" si="1"/>
        <v>0</v>
      </c>
      <c r="BB9" s="86">
        <f t="shared" si="1"/>
        <v>0</v>
      </c>
      <c r="BC9" s="86">
        <f t="shared" si="1"/>
        <v>0</v>
      </c>
      <c r="BD9" s="86">
        <f t="shared" si="1"/>
        <v>0</v>
      </c>
      <c r="BE9" s="86">
        <f t="shared" si="1"/>
        <v>0</v>
      </c>
      <c r="BF9" s="86">
        <f t="shared" si="1"/>
        <v>0</v>
      </c>
      <c r="BG9" s="86">
        <f t="shared" si="1"/>
        <v>0</v>
      </c>
      <c r="BH9" s="87">
        <f t="shared" si="1"/>
        <v>0</v>
      </c>
      <c r="BI9" s="86">
        <f t="shared" si="1"/>
        <v>0</v>
      </c>
      <c r="BJ9" s="86">
        <f t="shared" si="1"/>
        <v>0</v>
      </c>
      <c r="BK9" s="86">
        <f t="shared" si="1"/>
        <v>0</v>
      </c>
      <c r="BL9" s="86">
        <f t="shared" si="1"/>
        <v>0</v>
      </c>
      <c r="BM9" s="86">
        <f t="shared" si="1"/>
        <v>0</v>
      </c>
      <c r="BN9" s="86">
        <f t="shared" si="1"/>
        <v>0</v>
      </c>
      <c r="BO9" s="86">
        <f t="shared" si="1"/>
        <v>0</v>
      </c>
      <c r="BP9" s="86">
        <f t="shared" si="1"/>
        <v>0</v>
      </c>
      <c r="BQ9" s="86">
        <f t="shared" si="1"/>
        <v>0</v>
      </c>
      <c r="BR9" s="86">
        <f t="shared" si="1"/>
        <v>0</v>
      </c>
      <c r="BS9" s="86">
        <f t="shared" si="1"/>
        <v>0</v>
      </c>
      <c r="BT9" s="86">
        <f t="shared" ref="BT9:BU9" si="2">BT7-BT8</f>
        <v>0</v>
      </c>
      <c r="BU9" s="87">
        <f t="shared" si="2"/>
        <v>0</v>
      </c>
    </row>
    <row r="10" spans="1:73" ht="16" x14ac:dyDescent="0.35">
      <c r="G10" s="102" t="s">
        <v>206</v>
      </c>
      <c r="H10" s="49" t="str">
        <f t="shared" ref="H10:AM10" si="3">IFERROR((H7-H8)/H8,"")</f>
        <v/>
      </c>
      <c r="I10" s="68" t="str">
        <f t="shared" si="3"/>
        <v/>
      </c>
      <c r="J10" s="68" t="str">
        <f t="shared" si="3"/>
        <v/>
      </c>
      <c r="K10" s="68" t="str">
        <f t="shared" si="3"/>
        <v/>
      </c>
      <c r="L10" s="68" t="str">
        <f t="shared" si="3"/>
        <v/>
      </c>
      <c r="M10" s="68" t="str">
        <f t="shared" si="3"/>
        <v/>
      </c>
      <c r="N10" s="68" t="str">
        <f t="shared" si="3"/>
        <v/>
      </c>
      <c r="O10" s="68" t="str">
        <f t="shared" si="3"/>
        <v/>
      </c>
      <c r="P10" s="68" t="str">
        <f t="shared" si="3"/>
        <v/>
      </c>
      <c r="Q10" s="68" t="str">
        <f t="shared" si="3"/>
        <v/>
      </c>
      <c r="R10" s="68" t="str">
        <f t="shared" si="3"/>
        <v/>
      </c>
      <c r="S10" s="68" t="str">
        <f t="shared" si="3"/>
        <v/>
      </c>
      <c r="T10" s="68" t="str">
        <f t="shared" si="3"/>
        <v/>
      </c>
      <c r="U10" s="69" t="str">
        <f t="shared" si="3"/>
        <v/>
      </c>
      <c r="V10" s="68" t="str">
        <f t="shared" si="3"/>
        <v/>
      </c>
      <c r="W10" s="68" t="str">
        <f t="shared" si="3"/>
        <v/>
      </c>
      <c r="X10" s="68" t="str">
        <f t="shared" si="3"/>
        <v/>
      </c>
      <c r="Y10" s="68" t="str">
        <f t="shared" si="3"/>
        <v/>
      </c>
      <c r="Z10" s="68" t="str">
        <f t="shared" si="3"/>
        <v/>
      </c>
      <c r="AA10" s="68" t="str">
        <f t="shared" si="3"/>
        <v/>
      </c>
      <c r="AB10" s="68" t="str">
        <f t="shared" si="3"/>
        <v/>
      </c>
      <c r="AC10" s="68" t="str">
        <f t="shared" si="3"/>
        <v/>
      </c>
      <c r="AD10" s="68" t="str">
        <f t="shared" si="3"/>
        <v/>
      </c>
      <c r="AE10" s="68" t="str">
        <f t="shared" si="3"/>
        <v/>
      </c>
      <c r="AF10" s="68" t="str">
        <f t="shared" si="3"/>
        <v/>
      </c>
      <c r="AG10" s="68" t="str">
        <f t="shared" si="3"/>
        <v/>
      </c>
      <c r="AH10" s="69" t="str">
        <f t="shared" si="3"/>
        <v/>
      </c>
      <c r="AI10" s="68" t="str">
        <f t="shared" si="3"/>
        <v/>
      </c>
      <c r="AJ10" s="68" t="str">
        <f t="shared" si="3"/>
        <v/>
      </c>
      <c r="AK10" s="68" t="str">
        <f t="shared" si="3"/>
        <v/>
      </c>
      <c r="AL10" s="68" t="str">
        <f t="shared" si="3"/>
        <v/>
      </c>
      <c r="AM10" s="68" t="str">
        <f t="shared" si="3"/>
        <v/>
      </c>
      <c r="AN10" s="68" t="str">
        <f t="shared" ref="AN10:BU10" si="4">IFERROR((AN7-AN8)/AN8,"")</f>
        <v/>
      </c>
      <c r="AO10" s="68" t="str">
        <f t="shared" si="4"/>
        <v/>
      </c>
      <c r="AP10" s="68" t="str">
        <f t="shared" si="4"/>
        <v/>
      </c>
      <c r="AQ10" s="68" t="str">
        <f t="shared" si="4"/>
        <v/>
      </c>
      <c r="AR10" s="68" t="str">
        <f t="shared" si="4"/>
        <v/>
      </c>
      <c r="AS10" s="68" t="str">
        <f t="shared" si="4"/>
        <v/>
      </c>
      <c r="AT10" s="68" t="str">
        <f t="shared" si="4"/>
        <v/>
      </c>
      <c r="AU10" s="69" t="str">
        <f t="shared" si="4"/>
        <v/>
      </c>
      <c r="AV10" s="68" t="str">
        <f t="shared" si="4"/>
        <v/>
      </c>
      <c r="AW10" s="68" t="str">
        <f t="shared" si="4"/>
        <v/>
      </c>
      <c r="AX10" s="68" t="str">
        <f t="shared" si="4"/>
        <v/>
      </c>
      <c r="AY10" s="68" t="str">
        <f t="shared" si="4"/>
        <v/>
      </c>
      <c r="AZ10" s="68" t="str">
        <f t="shared" si="4"/>
        <v/>
      </c>
      <c r="BA10" s="68" t="str">
        <f t="shared" si="4"/>
        <v/>
      </c>
      <c r="BB10" s="68" t="str">
        <f t="shared" si="4"/>
        <v/>
      </c>
      <c r="BC10" s="68" t="str">
        <f t="shared" si="4"/>
        <v/>
      </c>
      <c r="BD10" s="68" t="str">
        <f t="shared" si="4"/>
        <v/>
      </c>
      <c r="BE10" s="68" t="str">
        <f t="shared" si="4"/>
        <v/>
      </c>
      <c r="BF10" s="68" t="str">
        <f t="shared" si="4"/>
        <v/>
      </c>
      <c r="BG10" s="68" t="str">
        <f t="shared" si="4"/>
        <v/>
      </c>
      <c r="BH10" s="69" t="str">
        <f t="shared" si="4"/>
        <v/>
      </c>
      <c r="BI10" s="68" t="str">
        <f t="shared" si="4"/>
        <v/>
      </c>
      <c r="BJ10" s="68" t="str">
        <f t="shared" si="4"/>
        <v/>
      </c>
      <c r="BK10" s="68" t="str">
        <f t="shared" si="4"/>
        <v/>
      </c>
      <c r="BL10" s="68" t="str">
        <f t="shared" si="4"/>
        <v/>
      </c>
      <c r="BM10" s="68" t="str">
        <f t="shared" si="4"/>
        <v/>
      </c>
      <c r="BN10" s="68" t="str">
        <f t="shared" si="4"/>
        <v/>
      </c>
      <c r="BO10" s="68" t="str">
        <f t="shared" si="4"/>
        <v/>
      </c>
      <c r="BP10" s="68" t="str">
        <f t="shared" si="4"/>
        <v/>
      </c>
      <c r="BQ10" s="68" t="str">
        <f t="shared" si="4"/>
        <v/>
      </c>
      <c r="BR10" s="68" t="str">
        <f t="shared" si="4"/>
        <v/>
      </c>
      <c r="BS10" s="68" t="str">
        <f t="shared" si="4"/>
        <v/>
      </c>
      <c r="BT10" s="68" t="str">
        <f t="shared" si="4"/>
        <v/>
      </c>
      <c r="BU10" s="69" t="str">
        <f t="shared" si="4"/>
        <v/>
      </c>
    </row>
    <row r="13" spans="1:73" ht="58.5" customHeight="1" x14ac:dyDescent="0.35">
      <c r="C13" s="26" t="s">
        <v>207</v>
      </c>
      <c r="D13" s="4" t="s">
        <v>208</v>
      </c>
      <c r="E13" s="4" t="s">
        <v>214</v>
      </c>
      <c r="F13" s="4" t="s">
        <v>209</v>
      </c>
      <c r="G13" s="93" t="s">
        <v>109</v>
      </c>
      <c r="H13" s="4" t="s">
        <v>110</v>
      </c>
      <c r="I13" s="96" t="s">
        <v>131</v>
      </c>
      <c r="J13" s="96" t="s">
        <v>132</v>
      </c>
      <c r="K13" s="96" t="s">
        <v>133</v>
      </c>
      <c r="L13" s="96" t="s">
        <v>134</v>
      </c>
      <c r="M13" s="96" t="s">
        <v>135</v>
      </c>
      <c r="N13" s="96" t="s">
        <v>136</v>
      </c>
      <c r="O13" s="96" t="s">
        <v>137</v>
      </c>
      <c r="P13" s="96" t="s">
        <v>138</v>
      </c>
      <c r="Q13" s="96" t="s">
        <v>139</v>
      </c>
      <c r="R13" s="96" t="s">
        <v>140</v>
      </c>
      <c r="S13" s="96" t="s">
        <v>141</v>
      </c>
      <c r="T13" s="96" t="s">
        <v>142</v>
      </c>
      <c r="U13" s="97" t="s">
        <v>143</v>
      </c>
      <c r="V13" s="96" t="s">
        <v>144</v>
      </c>
      <c r="W13" s="96" t="s">
        <v>145</v>
      </c>
      <c r="X13" s="96" t="s">
        <v>146</v>
      </c>
      <c r="Y13" s="96" t="s">
        <v>147</v>
      </c>
      <c r="Z13" s="96" t="s">
        <v>148</v>
      </c>
      <c r="AA13" s="96" t="s">
        <v>149</v>
      </c>
      <c r="AB13" s="96" t="s">
        <v>150</v>
      </c>
      <c r="AC13" s="96" t="s">
        <v>151</v>
      </c>
      <c r="AD13" s="96" t="s">
        <v>152</v>
      </c>
      <c r="AE13" s="96" t="s">
        <v>153</v>
      </c>
      <c r="AF13" s="96" t="s">
        <v>154</v>
      </c>
      <c r="AG13" s="96" t="s">
        <v>155</v>
      </c>
      <c r="AH13" s="97" t="s">
        <v>156</v>
      </c>
      <c r="AI13" s="96" t="s">
        <v>157</v>
      </c>
      <c r="AJ13" s="96" t="s">
        <v>158</v>
      </c>
      <c r="AK13" s="96" t="s">
        <v>159</v>
      </c>
      <c r="AL13" s="96" t="s">
        <v>160</v>
      </c>
      <c r="AM13" s="96" t="s">
        <v>161</v>
      </c>
      <c r="AN13" s="96" t="s">
        <v>162</v>
      </c>
      <c r="AO13" s="96" t="s">
        <v>163</v>
      </c>
      <c r="AP13" s="96" t="s">
        <v>164</v>
      </c>
      <c r="AQ13" s="96" t="s">
        <v>165</v>
      </c>
      <c r="AR13" s="96" t="s">
        <v>166</v>
      </c>
      <c r="AS13" s="96" t="s">
        <v>167</v>
      </c>
      <c r="AT13" s="96" t="s">
        <v>168</v>
      </c>
      <c r="AU13" s="97" t="s">
        <v>169</v>
      </c>
      <c r="AV13" s="96" t="s">
        <v>170</v>
      </c>
      <c r="AW13" s="96" t="s">
        <v>171</v>
      </c>
      <c r="AX13" s="96" t="s">
        <v>172</v>
      </c>
      <c r="AY13" s="96" t="s">
        <v>173</v>
      </c>
      <c r="AZ13" s="96" t="s">
        <v>174</v>
      </c>
      <c r="BA13" s="96" t="s">
        <v>175</v>
      </c>
      <c r="BB13" s="96" t="s">
        <v>176</v>
      </c>
      <c r="BC13" s="96" t="s">
        <v>177</v>
      </c>
      <c r="BD13" s="96" t="s">
        <v>178</v>
      </c>
      <c r="BE13" s="96" t="s">
        <v>179</v>
      </c>
      <c r="BF13" s="96" t="s">
        <v>180</v>
      </c>
      <c r="BG13" s="96" t="s">
        <v>181</v>
      </c>
      <c r="BH13" s="97" t="s">
        <v>182</v>
      </c>
      <c r="BI13" s="96" t="s">
        <v>183</v>
      </c>
      <c r="BJ13" s="96" t="s">
        <v>184</v>
      </c>
      <c r="BK13" s="96" t="s">
        <v>185</v>
      </c>
      <c r="BL13" s="96" t="s">
        <v>186</v>
      </c>
      <c r="BM13" s="96" t="s">
        <v>187</v>
      </c>
      <c r="BN13" s="96" t="s">
        <v>188</v>
      </c>
      <c r="BO13" s="96" t="s">
        <v>189</v>
      </c>
      <c r="BP13" s="96" t="s">
        <v>190</v>
      </c>
      <c r="BQ13" s="96" t="s">
        <v>191</v>
      </c>
      <c r="BR13" s="96" t="s">
        <v>192</v>
      </c>
      <c r="BS13" s="96" t="s">
        <v>193</v>
      </c>
      <c r="BT13" s="96" t="s">
        <v>194</v>
      </c>
      <c r="BU13" s="97" t="s">
        <v>195</v>
      </c>
    </row>
    <row r="14" spans="1:73" ht="42" x14ac:dyDescent="0.35">
      <c r="C14" s="27" t="s">
        <v>210</v>
      </c>
      <c r="D14" s="22" t="s">
        <v>372</v>
      </c>
      <c r="E14" s="76" t="s">
        <v>215</v>
      </c>
      <c r="F14" s="6" t="s">
        <v>374</v>
      </c>
      <c r="G14" s="60">
        <f>SUM(SavingPlanTable[[#This Row],[26/27 Total]]+SavingPlanTable[[#This Row],[27/28 Total]]+SavingPlanTable[[#This Row],[29/30 Total]]+SavingPlanTable[[#This Row],[30/31 Total]]+SavingPlanTable[[#This Row],[28/29 Total]])</f>
        <v>0</v>
      </c>
      <c r="H14" s="6"/>
      <c r="I14" s="61"/>
      <c r="J14" s="61"/>
      <c r="K14" s="61"/>
      <c r="L14" s="61"/>
      <c r="M14" s="61"/>
      <c r="N14" s="61"/>
      <c r="O14" s="61"/>
      <c r="P14" s="61"/>
      <c r="Q14" s="61"/>
      <c r="R14" s="61"/>
      <c r="S14" s="61"/>
      <c r="T14" s="61"/>
      <c r="U14" s="62">
        <f>SUM(I14:T14)</f>
        <v>0</v>
      </c>
      <c r="V14" s="61"/>
      <c r="W14" s="61"/>
      <c r="X14" s="61"/>
      <c r="Y14" s="61"/>
      <c r="Z14" s="61"/>
      <c r="AA14" s="61"/>
      <c r="AB14" s="61"/>
      <c r="AC14" s="61"/>
      <c r="AD14" s="61"/>
      <c r="AE14" s="61"/>
      <c r="AF14" s="61"/>
      <c r="AG14" s="61"/>
      <c r="AH14" s="62">
        <f>SUM(V14:AG14)</f>
        <v>0</v>
      </c>
      <c r="AI14" s="61"/>
      <c r="AJ14" s="61"/>
      <c r="AK14" s="61"/>
      <c r="AL14" s="61"/>
      <c r="AM14" s="61"/>
      <c r="AN14" s="61"/>
      <c r="AO14" s="61"/>
      <c r="AP14" s="61"/>
      <c r="AQ14" s="61"/>
      <c r="AR14" s="61"/>
      <c r="AS14" s="61"/>
      <c r="AT14" s="61"/>
      <c r="AU14" s="62">
        <f>SUM(AI14:AT14)</f>
        <v>0</v>
      </c>
      <c r="AV14" s="61"/>
      <c r="AW14" s="61"/>
      <c r="AX14" s="61"/>
      <c r="AY14" s="61"/>
      <c r="AZ14" s="61"/>
      <c r="BA14" s="61"/>
      <c r="BB14" s="61"/>
      <c r="BC14" s="61"/>
      <c r="BD14" s="61"/>
      <c r="BE14" s="61"/>
      <c r="BF14" s="61"/>
      <c r="BG14" s="61"/>
      <c r="BH14" s="62">
        <f>SUM(AV14:BG14)</f>
        <v>0</v>
      </c>
      <c r="BI14" s="61"/>
      <c r="BJ14" s="61"/>
      <c r="BK14" s="61"/>
      <c r="BL14" s="61"/>
      <c r="BM14" s="61"/>
      <c r="BN14" s="61"/>
      <c r="BO14" s="61"/>
      <c r="BP14" s="61"/>
      <c r="BQ14" s="61"/>
      <c r="BR14" s="61"/>
      <c r="BS14" s="61"/>
      <c r="BT14" s="61"/>
      <c r="BU14" s="62">
        <f>SUM(BI14:BT14)</f>
        <v>0</v>
      </c>
    </row>
    <row r="15" spans="1:73" ht="16" x14ac:dyDescent="0.35">
      <c r="C15" s="27"/>
      <c r="D15" s="22"/>
      <c r="E15" s="22"/>
      <c r="F15" s="6"/>
      <c r="G15" s="60">
        <f>SUM(SavingPlanTable[[#This Row],[26/27 Total]]+SavingPlanTable[[#This Row],[27/28 Total]]+SavingPlanTable[[#This Row],[29/30 Total]]+SavingPlanTable[[#This Row],[30/31 Total]]+SavingPlanTable[[#This Row],[28/29 Total]])</f>
        <v>0</v>
      </c>
      <c r="H15" s="6"/>
      <c r="I15" s="61"/>
      <c r="J15" s="61"/>
      <c r="K15" s="61"/>
      <c r="L15" s="61"/>
      <c r="M15" s="61"/>
      <c r="N15" s="61"/>
      <c r="O15" s="61"/>
      <c r="P15" s="61"/>
      <c r="Q15" s="61"/>
      <c r="R15" s="61"/>
      <c r="S15" s="61"/>
      <c r="T15" s="61"/>
      <c r="U15" s="62">
        <f>SUM(I15:T15)</f>
        <v>0</v>
      </c>
      <c r="V15" s="61"/>
      <c r="W15" s="61"/>
      <c r="X15" s="61"/>
      <c r="Y15" s="61"/>
      <c r="Z15" s="61"/>
      <c r="AA15" s="61"/>
      <c r="AB15" s="61"/>
      <c r="AC15" s="61"/>
      <c r="AD15" s="61"/>
      <c r="AE15" s="61"/>
      <c r="AF15" s="61"/>
      <c r="AG15" s="61"/>
      <c r="AH15" s="62">
        <f>SUM(V15:AG15)</f>
        <v>0</v>
      </c>
      <c r="AI15" s="61"/>
      <c r="AJ15" s="61"/>
      <c r="AK15" s="61"/>
      <c r="AL15" s="61"/>
      <c r="AM15" s="61"/>
      <c r="AN15" s="61"/>
      <c r="AO15" s="61"/>
      <c r="AP15" s="61"/>
      <c r="AQ15" s="61"/>
      <c r="AR15" s="61"/>
      <c r="AS15" s="61"/>
      <c r="AT15" s="61"/>
      <c r="AU15" s="62">
        <f>SUM(AI15:AT15)</f>
        <v>0</v>
      </c>
      <c r="AV15" s="61"/>
      <c r="AW15" s="61"/>
      <c r="AX15" s="61"/>
      <c r="AY15" s="61"/>
      <c r="AZ15" s="61"/>
      <c r="BA15" s="61"/>
      <c r="BB15" s="61"/>
      <c r="BC15" s="61"/>
      <c r="BD15" s="61"/>
      <c r="BE15" s="61"/>
      <c r="BF15" s="61"/>
      <c r="BG15" s="61"/>
      <c r="BH15" s="62">
        <f>SUM(AV15:BG15)</f>
        <v>0</v>
      </c>
      <c r="BI15" s="61"/>
      <c r="BJ15" s="61"/>
      <c r="BK15" s="61"/>
      <c r="BL15" s="61"/>
      <c r="BM15" s="61"/>
      <c r="BN15" s="61"/>
      <c r="BO15" s="61"/>
      <c r="BP15" s="61"/>
      <c r="BQ15" s="61"/>
      <c r="BR15" s="61"/>
      <c r="BS15" s="61"/>
      <c r="BT15" s="61"/>
      <c r="BU15" s="62">
        <f>SUM(BI15:BT15)</f>
        <v>0</v>
      </c>
    </row>
    <row r="16" spans="1:73" ht="16" x14ac:dyDescent="0.35">
      <c r="C16" s="27"/>
      <c r="D16" s="22"/>
      <c r="E16" s="22"/>
      <c r="F16" s="6"/>
      <c r="G16" s="60">
        <f>SUM(SavingPlanTable[[#This Row],[26/27 Total]]+SavingPlanTable[[#This Row],[27/28 Total]]+SavingPlanTable[[#This Row],[29/30 Total]]+SavingPlanTable[[#This Row],[30/31 Total]]+SavingPlanTable[[#This Row],[28/29 Total]])</f>
        <v>0</v>
      </c>
      <c r="H16" s="6"/>
      <c r="I16" s="61"/>
      <c r="J16" s="61"/>
      <c r="K16" s="61"/>
      <c r="L16" s="61"/>
      <c r="M16" s="61"/>
      <c r="N16" s="61"/>
      <c r="O16" s="61"/>
      <c r="P16" s="61"/>
      <c r="Q16" s="61"/>
      <c r="R16" s="61"/>
      <c r="S16" s="61"/>
      <c r="T16" s="61"/>
      <c r="U16" s="62">
        <f>SUM(I16:T16)</f>
        <v>0</v>
      </c>
      <c r="V16" s="61"/>
      <c r="W16" s="61"/>
      <c r="X16" s="61"/>
      <c r="Y16" s="61"/>
      <c r="Z16" s="61"/>
      <c r="AA16" s="61"/>
      <c r="AB16" s="61"/>
      <c r="AC16" s="61"/>
      <c r="AD16" s="61"/>
      <c r="AE16" s="61"/>
      <c r="AF16" s="61"/>
      <c r="AG16" s="61"/>
      <c r="AH16" s="62">
        <f>SUM(V16:AG16)</f>
        <v>0</v>
      </c>
      <c r="AI16" s="61"/>
      <c r="AJ16" s="61"/>
      <c r="AK16" s="61"/>
      <c r="AL16" s="61"/>
      <c r="AM16" s="61"/>
      <c r="AN16" s="61"/>
      <c r="AO16" s="61"/>
      <c r="AP16" s="61"/>
      <c r="AQ16" s="61"/>
      <c r="AR16" s="61"/>
      <c r="AS16" s="61"/>
      <c r="AT16" s="61"/>
      <c r="AU16" s="62">
        <f>SUM(AI16:AT16)</f>
        <v>0</v>
      </c>
      <c r="AV16" s="61"/>
      <c r="AW16" s="61"/>
      <c r="AX16" s="61"/>
      <c r="AY16" s="61"/>
      <c r="AZ16" s="61"/>
      <c r="BA16" s="61"/>
      <c r="BB16" s="61"/>
      <c r="BC16" s="61"/>
      <c r="BD16" s="61"/>
      <c r="BE16" s="61"/>
      <c r="BF16" s="61"/>
      <c r="BG16" s="61"/>
      <c r="BH16" s="62">
        <f>SUM(AV16:BG16)</f>
        <v>0</v>
      </c>
      <c r="BI16" s="61"/>
      <c r="BJ16" s="61"/>
      <c r="BK16" s="61"/>
      <c r="BL16" s="61"/>
      <c r="BM16" s="61"/>
      <c r="BN16" s="61"/>
      <c r="BO16" s="61"/>
      <c r="BP16" s="61"/>
      <c r="BQ16" s="61"/>
      <c r="BR16" s="61"/>
      <c r="BS16" s="61"/>
      <c r="BT16" s="61"/>
      <c r="BU16" s="62">
        <f>SUM(BI16:BT16)</f>
        <v>0</v>
      </c>
    </row>
    <row r="17" spans="3:73" ht="16" x14ac:dyDescent="0.35">
      <c r="C17" s="27"/>
      <c r="D17" s="22"/>
      <c r="E17" s="22"/>
      <c r="F17" s="6"/>
      <c r="G17" s="60">
        <f>SUM(SavingPlanTable[[#This Row],[26/27 Total]]+SavingPlanTable[[#This Row],[27/28 Total]]+SavingPlanTable[[#This Row],[29/30 Total]]+SavingPlanTable[[#This Row],[30/31 Total]]+SavingPlanTable[[#This Row],[28/29 Total]])</f>
        <v>0</v>
      </c>
      <c r="H17" s="6"/>
      <c r="I17" s="61"/>
      <c r="J17" s="61"/>
      <c r="K17" s="61"/>
      <c r="L17" s="61"/>
      <c r="M17" s="61"/>
      <c r="N17" s="61"/>
      <c r="O17" s="61"/>
      <c r="P17" s="61"/>
      <c r="Q17" s="61"/>
      <c r="R17" s="61"/>
      <c r="S17" s="61"/>
      <c r="T17" s="61"/>
      <c r="U17" s="62">
        <f t="shared" ref="U17:U23" si="5">SUM(I17:T17)</f>
        <v>0</v>
      </c>
      <c r="V17" s="61"/>
      <c r="W17" s="61"/>
      <c r="X17" s="61"/>
      <c r="Y17" s="61"/>
      <c r="Z17" s="61"/>
      <c r="AA17" s="61"/>
      <c r="AB17" s="61"/>
      <c r="AC17" s="61"/>
      <c r="AD17" s="61"/>
      <c r="AE17" s="61"/>
      <c r="AF17" s="61"/>
      <c r="AG17" s="61"/>
      <c r="AH17" s="62">
        <f t="shared" ref="AH17:AH23" si="6">SUM(V17:AG17)</f>
        <v>0</v>
      </c>
      <c r="AI17" s="61"/>
      <c r="AJ17" s="61"/>
      <c r="AK17" s="61"/>
      <c r="AL17" s="61"/>
      <c r="AM17" s="61"/>
      <c r="AN17" s="61"/>
      <c r="AO17" s="61"/>
      <c r="AP17" s="61"/>
      <c r="AQ17" s="61"/>
      <c r="AR17" s="61"/>
      <c r="AS17" s="61"/>
      <c r="AT17" s="61"/>
      <c r="AU17" s="62">
        <f t="shared" ref="AU17:AU23" si="7">SUM(AI17:AT17)</f>
        <v>0</v>
      </c>
      <c r="AV17" s="61"/>
      <c r="AW17" s="61"/>
      <c r="AX17" s="61"/>
      <c r="AY17" s="61"/>
      <c r="AZ17" s="61"/>
      <c r="BA17" s="61"/>
      <c r="BB17" s="61"/>
      <c r="BC17" s="61"/>
      <c r="BD17" s="61"/>
      <c r="BE17" s="61"/>
      <c r="BF17" s="61"/>
      <c r="BG17" s="61"/>
      <c r="BH17" s="62">
        <f t="shared" ref="BH17:BH23" si="8">SUM(AV17:BG17)</f>
        <v>0</v>
      </c>
      <c r="BI17" s="61"/>
      <c r="BJ17" s="61"/>
      <c r="BK17" s="61"/>
      <c r="BL17" s="61"/>
      <c r="BM17" s="61"/>
      <c r="BN17" s="61"/>
      <c r="BO17" s="61"/>
      <c r="BP17" s="61"/>
      <c r="BQ17" s="61"/>
      <c r="BR17" s="61"/>
      <c r="BS17" s="61"/>
      <c r="BT17" s="61"/>
      <c r="BU17" s="62">
        <f t="shared" ref="BU17:BU23" si="9">SUM(BI17:BT17)</f>
        <v>0</v>
      </c>
    </row>
    <row r="18" spans="3:73" ht="16" x14ac:dyDescent="0.35">
      <c r="C18" s="27"/>
      <c r="D18" s="22"/>
      <c r="E18" s="22"/>
      <c r="F18" s="6"/>
      <c r="G18" s="60">
        <f>SUM(SavingPlanTable[[#This Row],[26/27 Total]]+SavingPlanTable[[#This Row],[27/28 Total]]+SavingPlanTable[[#This Row],[29/30 Total]]+SavingPlanTable[[#This Row],[30/31 Total]]+SavingPlanTable[[#This Row],[28/29 Total]])</f>
        <v>0</v>
      </c>
      <c r="H18" s="6"/>
      <c r="I18" s="61"/>
      <c r="J18" s="61"/>
      <c r="K18" s="61"/>
      <c r="L18" s="61"/>
      <c r="M18" s="61"/>
      <c r="N18" s="61"/>
      <c r="O18" s="61"/>
      <c r="P18" s="61"/>
      <c r="Q18" s="61"/>
      <c r="R18" s="61"/>
      <c r="S18" s="61"/>
      <c r="T18" s="61"/>
      <c r="U18" s="62">
        <f t="shared" si="5"/>
        <v>0</v>
      </c>
      <c r="V18" s="61"/>
      <c r="W18" s="61"/>
      <c r="X18" s="61"/>
      <c r="Y18" s="61"/>
      <c r="Z18" s="61"/>
      <c r="AA18" s="61"/>
      <c r="AB18" s="61"/>
      <c r="AC18" s="61"/>
      <c r="AD18" s="61"/>
      <c r="AE18" s="61"/>
      <c r="AF18" s="61"/>
      <c r="AG18" s="61"/>
      <c r="AH18" s="62">
        <f t="shared" si="6"/>
        <v>0</v>
      </c>
      <c r="AI18" s="61"/>
      <c r="AJ18" s="61"/>
      <c r="AK18" s="61"/>
      <c r="AL18" s="61"/>
      <c r="AM18" s="61"/>
      <c r="AN18" s="61"/>
      <c r="AO18" s="61"/>
      <c r="AP18" s="61"/>
      <c r="AQ18" s="61"/>
      <c r="AR18" s="61"/>
      <c r="AS18" s="61"/>
      <c r="AT18" s="61"/>
      <c r="AU18" s="62">
        <f t="shared" si="7"/>
        <v>0</v>
      </c>
      <c r="AV18" s="61"/>
      <c r="AW18" s="61"/>
      <c r="AX18" s="61"/>
      <c r="AY18" s="61"/>
      <c r="AZ18" s="61"/>
      <c r="BA18" s="61"/>
      <c r="BB18" s="61"/>
      <c r="BC18" s="61"/>
      <c r="BD18" s="61"/>
      <c r="BE18" s="61"/>
      <c r="BF18" s="61"/>
      <c r="BG18" s="61"/>
      <c r="BH18" s="62">
        <f t="shared" si="8"/>
        <v>0</v>
      </c>
      <c r="BI18" s="61"/>
      <c r="BJ18" s="61"/>
      <c r="BK18" s="61"/>
      <c r="BL18" s="61"/>
      <c r="BM18" s="61"/>
      <c r="BN18" s="61"/>
      <c r="BO18" s="61"/>
      <c r="BP18" s="61"/>
      <c r="BQ18" s="61"/>
      <c r="BR18" s="61"/>
      <c r="BS18" s="61"/>
      <c r="BT18" s="61"/>
      <c r="BU18" s="62">
        <f t="shared" si="9"/>
        <v>0</v>
      </c>
    </row>
    <row r="19" spans="3:73" ht="16" x14ac:dyDescent="0.35">
      <c r="C19" s="27"/>
      <c r="D19" s="22"/>
      <c r="E19" s="22"/>
      <c r="F19" s="6"/>
      <c r="G19" s="60">
        <f>SUM(SavingPlanTable[[#This Row],[26/27 Total]]+SavingPlanTable[[#This Row],[27/28 Total]]+SavingPlanTable[[#This Row],[29/30 Total]]+SavingPlanTable[[#This Row],[30/31 Total]]+SavingPlanTable[[#This Row],[28/29 Total]])</f>
        <v>0</v>
      </c>
      <c r="H19" s="6"/>
      <c r="I19" s="61"/>
      <c r="J19" s="61"/>
      <c r="K19" s="61"/>
      <c r="L19" s="61"/>
      <c r="M19" s="61"/>
      <c r="N19" s="61"/>
      <c r="O19" s="61"/>
      <c r="P19" s="61"/>
      <c r="Q19" s="61"/>
      <c r="R19" s="61"/>
      <c r="S19" s="61"/>
      <c r="T19" s="61"/>
      <c r="U19" s="62">
        <f t="shared" si="5"/>
        <v>0</v>
      </c>
      <c r="V19" s="61"/>
      <c r="W19" s="61"/>
      <c r="X19" s="61"/>
      <c r="Y19" s="61"/>
      <c r="Z19" s="61"/>
      <c r="AA19" s="61"/>
      <c r="AB19" s="61"/>
      <c r="AC19" s="61"/>
      <c r="AD19" s="61"/>
      <c r="AE19" s="61"/>
      <c r="AF19" s="61"/>
      <c r="AG19" s="61"/>
      <c r="AH19" s="62">
        <f t="shared" si="6"/>
        <v>0</v>
      </c>
      <c r="AI19" s="61"/>
      <c r="AJ19" s="61"/>
      <c r="AK19" s="61"/>
      <c r="AL19" s="61"/>
      <c r="AM19" s="61"/>
      <c r="AN19" s="61"/>
      <c r="AO19" s="61"/>
      <c r="AP19" s="61"/>
      <c r="AQ19" s="61"/>
      <c r="AR19" s="61"/>
      <c r="AS19" s="61"/>
      <c r="AT19" s="61"/>
      <c r="AU19" s="62">
        <f t="shared" si="7"/>
        <v>0</v>
      </c>
      <c r="AV19" s="61"/>
      <c r="AW19" s="61"/>
      <c r="AX19" s="61"/>
      <c r="AY19" s="61"/>
      <c r="AZ19" s="61"/>
      <c r="BA19" s="61"/>
      <c r="BB19" s="61"/>
      <c r="BC19" s="61"/>
      <c r="BD19" s="61"/>
      <c r="BE19" s="61"/>
      <c r="BF19" s="61"/>
      <c r="BG19" s="61"/>
      <c r="BH19" s="62">
        <f t="shared" si="8"/>
        <v>0</v>
      </c>
      <c r="BI19" s="61"/>
      <c r="BJ19" s="61"/>
      <c r="BK19" s="61"/>
      <c r="BL19" s="61"/>
      <c r="BM19" s="61"/>
      <c r="BN19" s="61"/>
      <c r="BO19" s="61"/>
      <c r="BP19" s="61"/>
      <c r="BQ19" s="61"/>
      <c r="BR19" s="61"/>
      <c r="BS19" s="61"/>
      <c r="BT19" s="61"/>
      <c r="BU19" s="62">
        <f t="shared" si="9"/>
        <v>0</v>
      </c>
    </row>
    <row r="20" spans="3:73" ht="16" x14ac:dyDescent="0.35">
      <c r="C20" s="27"/>
      <c r="D20" s="22"/>
      <c r="E20" s="22"/>
      <c r="F20" s="6"/>
      <c r="G20" s="60">
        <f>SUM(SavingPlanTable[[#This Row],[26/27 Total]]+SavingPlanTable[[#This Row],[27/28 Total]]+SavingPlanTable[[#This Row],[29/30 Total]]+SavingPlanTable[[#This Row],[30/31 Total]]+SavingPlanTable[[#This Row],[28/29 Total]])</f>
        <v>0</v>
      </c>
      <c r="H20" s="6"/>
      <c r="I20" s="61"/>
      <c r="J20" s="61"/>
      <c r="K20" s="61"/>
      <c r="L20" s="61"/>
      <c r="M20" s="61"/>
      <c r="N20" s="61"/>
      <c r="O20" s="61"/>
      <c r="P20" s="61"/>
      <c r="Q20" s="61"/>
      <c r="R20" s="61"/>
      <c r="S20" s="61"/>
      <c r="T20" s="61"/>
      <c r="U20" s="62">
        <f t="shared" si="5"/>
        <v>0</v>
      </c>
      <c r="V20" s="61"/>
      <c r="W20" s="61"/>
      <c r="X20" s="61"/>
      <c r="Y20" s="61"/>
      <c r="Z20" s="61"/>
      <c r="AA20" s="61"/>
      <c r="AB20" s="61"/>
      <c r="AC20" s="61"/>
      <c r="AD20" s="61"/>
      <c r="AE20" s="61"/>
      <c r="AF20" s="61"/>
      <c r="AG20" s="61"/>
      <c r="AH20" s="62">
        <f t="shared" si="6"/>
        <v>0</v>
      </c>
      <c r="AI20" s="61"/>
      <c r="AJ20" s="61"/>
      <c r="AK20" s="61"/>
      <c r="AL20" s="61"/>
      <c r="AM20" s="61"/>
      <c r="AN20" s="61"/>
      <c r="AO20" s="61"/>
      <c r="AP20" s="61"/>
      <c r="AQ20" s="61"/>
      <c r="AR20" s="61"/>
      <c r="AS20" s="61"/>
      <c r="AT20" s="61"/>
      <c r="AU20" s="62">
        <f t="shared" si="7"/>
        <v>0</v>
      </c>
      <c r="AV20" s="61"/>
      <c r="AW20" s="61"/>
      <c r="AX20" s="61"/>
      <c r="AY20" s="61"/>
      <c r="AZ20" s="61"/>
      <c r="BA20" s="61"/>
      <c r="BB20" s="61"/>
      <c r="BC20" s="61"/>
      <c r="BD20" s="61"/>
      <c r="BE20" s="61"/>
      <c r="BF20" s="61"/>
      <c r="BG20" s="61"/>
      <c r="BH20" s="62">
        <f t="shared" si="8"/>
        <v>0</v>
      </c>
      <c r="BI20" s="61"/>
      <c r="BJ20" s="61"/>
      <c r="BK20" s="61"/>
      <c r="BL20" s="61"/>
      <c r="BM20" s="61"/>
      <c r="BN20" s="61"/>
      <c r="BO20" s="61"/>
      <c r="BP20" s="61"/>
      <c r="BQ20" s="61"/>
      <c r="BR20" s="61"/>
      <c r="BS20" s="61"/>
      <c r="BT20" s="61"/>
      <c r="BU20" s="62">
        <f t="shared" si="9"/>
        <v>0</v>
      </c>
    </row>
    <row r="21" spans="3:73" ht="16" x14ac:dyDescent="0.35">
      <c r="C21" s="27"/>
      <c r="D21" s="22"/>
      <c r="E21" s="22"/>
      <c r="F21" s="6"/>
      <c r="G21" s="60">
        <f>SUM(SavingPlanTable[[#This Row],[26/27 Total]]+SavingPlanTable[[#This Row],[27/28 Total]]+SavingPlanTable[[#This Row],[29/30 Total]]+SavingPlanTable[[#This Row],[30/31 Total]]+SavingPlanTable[[#This Row],[28/29 Total]])</f>
        <v>0</v>
      </c>
      <c r="H21" s="6"/>
      <c r="I21" s="61"/>
      <c r="J21" s="61"/>
      <c r="K21" s="61"/>
      <c r="L21" s="61"/>
      <c r="M21" s="61"/>
      <c r="N21" s="61"/>
      <c r="O21" s="61"/>
      <c r="P21" s="61"/>
      <c r="Q21" s="61"/>
      <c r="R21" s="61"/>
      <c r="S21" s="61"/>
      <c r="T21" s="61"/>
      <c r="U21" s="62">
        <f t="shared" si="5"/>
        <v>0</v>
      </c>
      <c r="V21" s="61"/>
      <c r="W21" s="61"/>
      <c r="X21" s="61"/>
      <c r="Y21" s="61"/>
      <c r="Z21" s="61"/>
      <c r="AA21" s="61"/>
      <c r="AB21" s="61"/>
      <c r="AC21" s="61"/>
      <c r="AD21" s="61"/>
      <c r="AE21" s="61"/>
      <c r="AF21" s="61"/>
      <c r="AG21" s="61"/>
      <c r="AH21" s="62">
        <f t="shared" si="6"/>
        <v>0</v>
      </c>
      <c r="AI21" s="61"/>
      <c r="AJ21" s="61"/>
      <c r="AK21" s="61"/>
      <c r="AL21" s="61"/>
      <c r="AM21" s="61"/>
      <c r="AN21" s="61"/>
      <c r="AO21" s="61"/>
      <c r="AP21" s="61"/>
      <c r="AQ21" s="61"/>
      <c r="AR21" s="61"/>
      <c r="AS21" s="61"/>
      <c r="AT21" s="61"/>
      <c r="AU21" s="62">
        <f t="shared" si="7"/>
        <v>0</v>
      </c>
      <c r="AV21" s="61"/>
      <c r="AW21" s="61"/>
      <c r="AX21" s="61"/>
      <c r="AY21" s="61"/>
      <c r="AZ21" s="61"/>
      <c r="BA21" s="61"/>
      <c r="BB21" s="61"/>
      <c r="BC21" s="61"/>
      <c r="BD21" s="61"/>
      <c r="BE21" s="61"/>
      <c r="BF21" s="61"/>
      <c r="BG21" s="61"/>
      <c r="BH21" s="62">
        <f t="shared" si="8"/>
        <v>0</v>
      </c>
      <c r="BI21" s="61"/>
      <c r="BJ21" s="61"/>
      <c r="BK21" s="61"/>
      <c r="BL21" s="61"/>
      <c r="BM21" s="61"/>
      <c r="BN21" s="61"/>
      <c r="BO21" s="61"/>
      <c r="BP21" s="61"/>
      <c r="BQ21" s="61"/>
      <c r="BR21" s="61"/>
      <c r="BS21" s="61"/>
      <c r="BT21" s="61"/>
      <c r="BU21" s="62">
        <f t="shared" si="9"/>
        <v>0</v>
      </c>
    </row>
    <row r="22" spans="3:73" ht="16" x14ac:dyDescent="0.35">
      <c r="C22" s="27"/>
      <c r="D22" s="22"/>
      <c r="E22" s="22"/>
      <c r="F22" s="6"/>
      <c r="G22" s="60">
        <f>SUM(SavingPlanTable[[#This Row],[26/27 Total]]+SavingPlanTable[[#This Row],[27/28 Total]]+SavingPlanTable[[#This Row],[29/30 Total]]+SavingPlanTable[[#This Row],[30/31 Total]]+SavingPlanTable[[#This Row],[28/29 Total]])</f>
        <v>0</v>
      </c>
      <c r="H22" s="6"/>
      <c r="I22" s="61"/>
      <c r="J22" s="61"/>
      <c r="K22" s="61"/>
      <c r="L22" s="61"/>
      <c r="M22" s="61"/>
      <c r="N22" s="61"/>
      <c r="O22" s="61"/>
      <c r="P22" s="61"/>
      <c r="Q22" s="61"/>
      <c r="R22" s="61"/>
      <c r="S22" s="61"/>
      <c r="T22" s="61"/>
      <c r="U22" s="62">
        <f t="shared" si="5"/>
        <v>0</v>
      </c>
      <c r="V22" s="61"/>
      <c r="W22" s="61"/>
      <c r="X22" s="61"/>
      <c r="Y22" s="61"/>
      <c r="Z22" s="61"/>
      <c r="AA22" s="61"/>
      <c r="AB22" s="61"/>
      <c r="AC22" s="61"/>
      <c r="AD22" s="61"/>
      <c r="AE22" s="61"/>
      <c r="AF22" s="61"/>
      <c r="AG22" s="61"/>
      <c r="AH22" s="62">
        <f t="shared" si="6"/>
        <v>0</v>
      </c>
      <c r="AI22" s="61"/>
      <c r="AJ22" s="61"/>
      <c r="AK22" s="61"/>
      <c r="AL22" s="61"/>
      <c r="AM22" s="61"/>
      <c r="AN22" s="61"/>
      <c r="AO22" s="61"/>
      <c r="AP22" s="61"/>
      <c r="AQ22" s="61"/>
      <c r="AR22" s="61"/>
      <c r="AS22" s="61"/>
      <c r="AT22" s="61"/>
      <c r="AU22" s="62">
        <f t="shared" si="7"/>
        <v>0</v>
      </c>
      <c r="AV22" s="61"/>
      <c r="AW22" s="61"/>
      <c r="AX22" s="61"/>
      <c r="AY22" s="61"/>
      <c r="AZ22" s="61"/>
      <c r="BA22" s="61"/>
      <c r="BB22" s="61"/>
      <c r="BC22" s="61"/>
      <c r="BD22" s="61"/>
      <c r="BE22" s="61"/>
      <c r="BF22" s="61"/>
      <c r="BG22" s="61"/>
      <c r="BH22" s="62">
        <f t="shared" si="8"/>
        <v>0</v>
      </c>
      <c r="BI22" s="61"/>
      <c r="BJ22" s="61"/>
      <c r="BK22" s="61"/>
      <c r="BL22" s="61"/>
      <c r="BM22" s="61"/>
      <c r="BN22" s="61"/>
      <c r="BO22" s="61"/>
      <c r="BP22" s="61"/>
      <c r="BQ22" s="61"/>
      <c r="BR22" s="61"/>
      <c r="BS22" s="61"/>
      <c r="BT22" s="61"/>
      <c r="BU22" s="62">
        <f t="shared" si="9"/>
        <v>0</v>
      </c>
    </row>
    <row r="23" spans="3:73" ht="16" x14ac:dyDescent="0.35">
      <c r="C23" s="27"/>
      <c r="D23" s="22"/>
      <c r="E23" s="22"/>
      <c r="F23" s="6"/>
      <c r="G23" s="60">
        <f>SUM(SavingPlanTable[[#This Row],[26/27 Total]]+SavingPlanTable[[#This Row],[27/28 Total]]+SavingPlanTable[[#This Row],[29/30 Total]]+SavingPlanTable[[#This Row],[30/31 Total]]+SavingPlanTable[[#This Row],[28/29 Total]])</f>
        <v>0</v>
      </c>
      <c r="H23" s="6"/>
      <c r="I23" s="61"/>
      <c r="J23" s="61"/>
      <c r="K23" s="61"/>
      <c r="L23" s="61"/>
      <c r="M23" s="61"/>
      <c r="N23" s="61"/>
      <c r="O23" s="61"/>
      <c r="P23" s="61"/>
      <c r="Q23" s="61"/>
      <c r="R23" s="61"/>
      <c r="S23" s="61"/>
      <c r="T23" s="61"/>
      <c r="U23" s="62">
        <f t="shared" si="5"/>
        <v>0</v>
      </c>
      <c r="V23" s="61"/>
      <c r="W23" s="61"/>
      <c r="X23" s="61"/>
      <c r="Y23" s="61"/>
      <c r="Z23" s="61"/>
      <c r="AA23" s="61"/>
      <c r="AB23" s="61"/>
      <c r="AC23" s="61"/>
      <c r="AD23" s="61"/>
      <c r="AE23" s="61"/>
      <c r="AF23" s="61"/>
      <c r="AG23" s="61"/>
      <c r="AH23" s="62">
        <f t="shared" si="6"/>
        <v>0</v>
      </c>
      <c r="AI23" s="61"/>
      <c r="AJ23" s="61"/>
      <c r="AK23" s="61"/>
      <c r="AL23" s="61"/>
      <c r="AM23" s="61"/>
      <c r="AN23" s="61"/>
      <c r="AO23" s="61"/>
      <c r="AP23" s="61"/>
      <c r="AQ23" s="61"/>
      <c r="AR23" s="61"/>
      <c r="AS23" s="61"/>
      <c r="AT23" s="61"/>
      <c r="AU23" s="62">
        <f t="shared" si="7"/>
        <v>0</v>
      </c>
      <c r="AV23" s="61"/>
      <c r="AW23" s="61"/>
      <c r="AX23" s="61"/>
      <c r="AY23" s="61"/>
      <c r="AZ23" s="61"/>
      <c r="BA23" s="61"/>
      <c r="BB23" s="61"/>
      <c r="BC23" s="61"/>
      <c r="BD23" s="61"/>
      <c r="BE23" s="61"/>
      <c r="BF23" s="61"/>
      <c r="BG23" s="61"/>
      <c r="BH23" s="62">
        <f t="shared" si="8"/>
        <v>0</v>
      </c>
      <c r="BI23" s="61"/>
      <c r="BJ23" s="61"/>
      <c r="BK23" s="61"/>
      <c r="BL23" s="61"/>
      <c r="BM23" s="61"/>
      <c r="BN23" s="61"/>
      <c r="BO23" s="61"/>
      <c r="BP23" s="61"/>
      <c r="BQ23" s="61"/>
      <c r="BR23" s="61"/>
      <c r="BS23" s="61"/>
      <c r="BT23" s="61"/>
      <c r="BU23" s="62">
        <f t="shared" si="9"/>
        <v>0</v>
      </c>
    </row>
    <row r="24" spans="3:73" ht="16" x14ac:dyDescent="0.35">
      <c r="C24" s="28"/>
      <c r="D24" s="22"/>
      <c r="E24" s="34"/>
      <c r="F24" s="29"/>
      <c r="G24" s="60">
        <f>SUM(SavingPlanTable[[#This Row],[26/27 Total]]+SavingPlanTable[[#This Row],[27/28 Total]]+SavingPlanTable[[#This Row],[29/30 Total]]+SavingPlanTable[[#This Row],[30/31 Total]]+SavingPlanTable[[#This Row],[28/29 Total]])</f>
        <v>0</v>
      </c>
      <c r="H24" s="29"/>
      <c r="I24" s="68"/>
      <c r="J24" s="68"/>
      <c r="K24" s="68"/>
      <c r="L24" s="68"/>
      <c r="M24" s="68"/>
      <c r="N24" s="68"/>
      <c r="O24" s="68"/>
      <c r="P24" s="68"/>
      <c r="Q24" s="68"/>
      <c r="R24" s="68"/>
      <c r="S24" s="68"/>
      <c r="T24" s="68"/>
      <c r="U24" s="69">
        <f>SUM(I24:T24)</f>
        <v>0</v>
      </c>
      <c r="V24" s="68"/>
      <c r="W24" s="68"/>
      <c r="X24" s="68"/>
      <c r="Y24" s="68"/>
      <c r="Z24" s="68"/>
      <c r="AA24" s="68"/>
      <c r="AB24" s="68"/>
      <c r="AC24" s="68"/>
      <c r="AD24" s="68"/>
      <c r="AE24" s="68"/>
      <c r="AF24" s="68"/>
      <c r="AG24" s="68"/>
      <c r="AH24" s="69">
        <f>SUM(V24:AG24)</f>
        <v>0</v>
      </c>
      <c r="AI24" s="68"/>
      <c r="AJ24" s="68"/>
      <c r="AK24" s="68"/>
      <c r="AL24" s="68"/>
      <c r="AM24" s="68"/>
      <c r="AN24" s="68"/>
      <c r="AO24" s="68"/>
      <c r="AP24" s="68"/>
      <c r="AQ24" s="68"/>
      <c r="AR24" s="68"/>
      <c r="AS24" s="68"/>
      <c r="AT24" s="68"/>
      <c r="AU24" s="69">
        <f>SUM(AI24:AT24)</f>
        <v>0</v>
      </c>
      <c r="AV24" s="68"/>
      <c r="AW24" s="68"/>
      <c r="AX24" s="68"/>
      <c r="AY24" s="68"/>
      <c r="AZ24" s="68"/>
      <c r="BA24" s="68"/>
      <c r="BB24" s="68"/>
      <c r="BC24" s="68"/>
      <c r="BD24" s="68"/>
      <c r="BE24" s="68"/>
      <c r="BF24" s="68"/>
      <c r="BG24" s="68"/>
      <c r="BH24" s="69">
        <f>SUM(AV24:BG24)</f>
        <v>0</v>
      </c>
      <c r="BI24" s="68"/>
      <c r="BJ24" s="68"/>
      <c r="BK24" s="68"/>
      <c r="BL24" s="68"/>
      <c r="BM24" s="68"/>
      <c r="BN24" s="68"/>
      <c r="BO24" s="68"/>
      <c r="BP24" s="68"/>
      <c r="BQ24" s="68"/>
      <c r="BR24" s="68"/>
      <c r="BS24" s="68"/>
      <c r="BT24" s="68"/>
      <c r="BU24" s="69">
        <f>SUM(BI24:BT24)</f>
        <v>0</v>
      </c>
    </row>
    <row r="25" spans="3:73" ht="16.5" thickBot="1" x14ac:dyDescent="0.4">
      <c r="C25" s="27"/>
      <c r="D25" s="44"/>
      <c r="E25" s="22"/>
      <c r="F25" s="6"/>
      <c r="G25" s="60">
        <f>SUM(SavingPlanTable[[#This Row],[26/27 Total]]+SavingPlanTable[[#This Row],[27/28 Total]]+SavingPlanTable[[#This Row],[29/30 Total]]+SavingPlanTable[[#This Row],[30/31 Total]]+SavingPlanTable[[#This Row],[28/29 Total]])</f>
        <v>0</v>
      </c>
      <c r="H25" s="6"/>
      <c r="I25" s="61"/>
      <c r="J25" s="61"/>
      <c r="K25" s="61"/>
      <c r="L25" s="61"/>
      <c r="M25" s="61"/>
      <c r="N25" s="61"/>
      <c r="O25" s="61"/>
      <c r="P25" s="61"/>
      <c r="Q25" s="61"/>
      <c r="R25" s="61"/>
      <c r="S25" s="61"/>
      <c r="T25" s="61"/>
      <c r="U25" s="62">
        <f>SUM(I25:T25)</f>
        <v>0</v>
      </c>
      <c r="V25" s="61"/>
      <c r="W25" s="61"/>
      <c r="X25" s="61"/>
      <c r="Y25" s="61"/>
      <c r="Z25" s="61"/>
      <c r="AA25" s="61"/>
      <c r="AB25" s="61"/>
      <c r="AC25" s="61"/>
      <c r="AD25" s="61"/>
      <c r="AE25" s="61"/>
      <c r="AF25" s="61"/>
      <c r="AG25" s="61"/>
      <c r="AH25" s="62">
        <f>SUM(V25:AG25)</f>
        <v>0</v>
      </c>
      <c r="AI25" s="61"/>
      <c r="AJ25" s="61"/>
      <c r="AK25" s="61"/>
      <c r="AL25" s="61"/>
      <c r="AM25" s="61"/>
      <c r="AN25" s="61"/>
      <c r="AO25" s="61"/>
      <c r="AP25" s="61"/>
      <c r="AQ25" s="61"/>
      <c r="AR25" s="61"/>
      <c r="AS25" s="61"/>
      <c r="AT25" s="61"/>
      <c r="AU25" s="62">
        <f>SUM(AI25:AT25)</f>
        <v>0</v>
      </c>
      <c r="AV25" s="61"/>
      <c r="AW25" s="61"/>
      <c r="AX25" s="61"/>
      <c r="AY25" s="61"/>
      <c r="AZ25" s="61"/>
      <c r="BA25" s="61"/>
      <c r="BB25" s="61"/>
      <c r="BC25" s="61"/>
      <c r="BD25" s="61"/>
      <c r="BE25" s="61"/>
      <c r="BF25" s="61"/>
      <c r="BG25" s="61"/>
      <c r="BH25" s="62">
        <f>SUM(AV25:BG25)</f>
        <v>0</v>
      </c>
      <c r="BI25" s="61"/>
      <c r="BJ25" s="61"/>
      <c r="BK25" s="61"/>
      <c r="BL25" s="61"/>
      <c r="BM25" s="61"/>
      <c r="BN25" s="61"/>
      <c r="BO25" s="61"/>
      <c r="BP25" s="61"/>
      <c r="BQ25" s="61"/>
      <c r="BR25" s="61"/>
      <c r="BS25" s="61"/>
      <c r="BT25" s="61"/>
      <c r="BU25" s="62">
        <f>SUM(BI25:BT25)</f>
        <v>0</v>
      </c>
    </row>
    <row r="26" spans="3:73" ht="16" x14ac:dyDescent="0.35">
      <c r="C26" s="45" t="s">
        <v>91</v>
      </c>
      <c r="D26" s="45"/>
      <c r="E26" s="45"/>
      <c r="F26" s="46"/>
      <c r="G26" s="75">
        <f>SUBTOTAL(109,SavingPlanTable[Gross Savings (£000)])</f>
        <v>0</v>
      </c>
      <c r="H26" s="46"/>
      <c r="I26" s="73">
        <f>SUBTOTAL(109,SavingPlanTable[Apr-26])</f>
        <v>0</v>
      </c>
      <c r="J26" s="73">
        <f>SUBTOTAL(109,SavingPlanTable[May-26])</f>
        <v>0</v>
      </c>
      <c r="K26" s="73">
        <f>SUBTOTAL(109,SavingPlanTable[Jun-26])</f>
        <v>0</v>
      </c>
      <c r="L26" s="73">
        <f>SUBTOTAL(109,SavingPlanTable[Jul-26])</f>
        <v>0</v>
      </c>
      <c r="M26" s="73">
        <f>SUBTOTAL(109,SavingPlanTable[Aug-26])</f>
        <v>0</v>
      </c>
      <c r="N26" s="73">
        <f>SUBTOTAL(109,SavingPlanTable[Sep-26])</f>
        <v>0</v>
      </c>
      <c r="O26" s="73">
        <f>SUBTOTAL(109,SavingPlanTable[Oct-26])</f>
        <v>0</v>
      </c>
      <c r="P26" s="73">
        <f>SUBTOTAL(109,SavingPlanTable[Nov-26])</f>
        <v>0</v>
      </c>
      <c r="Q26" s="73">
        <f>SUBTOTAL(109,SavingPlanTable[Dec-26])</f>
        <v>0</v>
      </c>
      <c r="R26" s="73">
        <f>SUBTOTAL(109,SavingPlanTable[Jan-27])</f>
        <v>0</v>
      </c>
      <c r="S26" s="73">
        <f>SUBTOTAL(109,SavingPlanTable[Feb-27])</f>
        <v>0</v>
      </c>
      <c r="T26" s="73">
        <f>SUBTOTAL(109,SavingPlanTable[Mar-27])</f>
        <v>0</v>
      </c>
      <c r="U26" s="69">
        <f>SUBTOTAL(109,SavingPlanTable[26/27 Total])</f>
        <v>0</v>
      </c>
      <c r="V26" s="73">
        <f>SUBTOTAL(109,SavingPlanTable[Apr-27])</f>
        <v>0</v>
      </c>
      <c r="W26" s="73">
        <f>SUBTOTAL(109,SavingPlanTable[May-27])</f>
        <v>0</v>
      </c>
      <c r="X26" s="73">
        <f>SUBTOTAL(109,SavingPlanTable[Jun-27])</f>
        <v>0</v>
      </c>
      <c r="Y26" s="73">
        <f>SUBTOTAL(109,SavingPlanTable[Jul-27])</f>
        <v>0</v>
      </c>
      <c r="Z26" s="73">
        <f>SUBTOTAL(109,SavingPlanTable[Aug-27])</f>
        <v>0</v>
      </c>
      <c r="AA26" s="73">
        <f>SUBTOTAL(109,SavingPlanTable[Sep-27])</f>
        <v>0</v>
      </c>
      <c r="AB26" s="73">
        <f>SUBTOTAL(109,SavingPlanTable[Oct-27])</f>
        <v>0</v>
      </c>
      <c r="AC26" s="73">
        <f>SUBTOTAL(109,SavingPlanTable[Nov-27])</f>
        <v>0</v>
      </c>
      <c r="AD26" s="73">
        <f>SUBTOTAL(109,SavingPlanTable[Dec-27])</f>
        <v>0</v>
      </c>
      <c r="AE26" s="73">
        <f>SUBTOTAL(109,SavingPlanTable[Jan-28])</f>
        <v>0</v>
      </c>
      <c r="AF26" s="73">
        <f>SUBTOTAL(109,SavingPlanTable[Feb-28])</f>
        <v>0</v>
      </c>
      <c r="AG26" s="73">
        <f>SUBTOTAL(109,SavingPlanTable[Mar-28])</f>
        <v>0</v>
      </c>
      <c r="AH26" s="69">
        <f>SUBTOTAL(109,SavingPlanTable[27/28 Total])</f>
        <v>0</v>
      </c>
      <c r="AI26" s="73">
        <f>SUBTOTAL(109,SavingPlanTable[Apr-28])</f>
        <v>0</v>
      </c>
      <c r="AJ26" s="73">
        <f>SUBTOTAL(109,SavingPlanTable[May-28])</f>
        <v>0</v>
      </c>
      <c r="AK26" s="73">
        <f>SUBTOTAL(109,SavingPlanTable[Jun-28])</f>
        <v>0</v>
      </c>
      <c r="AL26" s="73">
        <f>SUBTOTAL(109,SavingPlanTable[Jul-28])</f>
        <v>0</v>
      </c>
      <c r="AM26" s="73">
        <f>SUBTOTAL(109,SavingPlanTable[Aug-28])</f>
        <v>0</v>
      </c>
      <c r="AN26" s="73">
        <f>SUBTOTAL(109,SavingPlanTable[Sep-28])</f>
        <v>0</v>
      </c>
      <c r="AO26" s="73">
        <f>SUBTOTAL(109,SavingPlanTable[Oct-28])</f>
        <v>0</v>
      </c>
      <c r="AP26" s="73">
        <f>SUBTOTAL(109,SavingPlanTable[Nov-28])</f>
        <v>0</v>
      </c>
      <c r="AQ26" s="73">
        <f>SUBTOTAL(109,SavingPlanTable[Dec-28])</f>
        <v>0</v>
      </c>
      <c r="AR26" s="73">
        <f>SUBTOTAL(109,SavingPlanTable[Jan-29])</f>
        <v>0</v>
      </c>
      <c r="AS26" s="73">
        <f>SUBTOTAL(109,SavingPlanTable[Feb-29])</f>
        <v>0</v>
      </c>
      <c r="AT26" s="73">
        <f>SUBTOTAL(109,SavingPlanTable[Mar-29])</f>
        <v>0</v>
      </c>
      <c r="AU26" s="69">
        <f>SUBTOTAL(109,SavingPlanTable[28/29 Total])</f>
        <v>0</v>
      </c>
      <c r="AV26" s="73">
        <f>SUBTOTAL(109,SavingPlanTable[Apr-29])</f>
        <v>0</v>
      </c>
      <c r="AW26" s="73">
        <f>SUBTOTAL(109,SavingPlanTable[May-29])</f>
        <v>0</v>
      </c>
      <c r="AX26" s="73">
        <f>SUBTOTAL(109,SavingPlanTable[Jun-29])</f>
        <v>0</v>
      </c>
      <c r="AY26" s="73">
        <f>SUBTOTAL(109,SavingPlanTable[Jul-29])</f>
        <v>0</v>
      </c>
      <c r="AZ26" s="73">
        <f>SUBTOTAL(109,SavingPlanTable[Aug-29])</f>
        <v>0</v>
      </c>
      <c r="BA26" s="73">
        <f>SUBTOTAL(109,SavingPlanTable[Sep-29])</f>
        <v>0</v>
      </c>
      <c r="BB26" s="73">
        <f>SUBTOTAL(109,SavingPlanTable[Oct-29])</f>
        <v>0</v>
      </c>
      <c r="BC26" s="73">
        <f>SUBTOTAL(109,SavingPlanTable[Nov-29])</f>
        <v>0</v>
      </c>
      <c r="BD26" s="73">
        <f>SUBTOTAL(109,SavingPlanTable[Dec-29])</f>
        <v>0</v>
      </c>
      <c r="BE26" s="73">
        <f>SUBTOTAL(109,SavingPlanTable[Jan-30])</f>
        <v>0</v>
      </c>
      <c r="BF26" s="73">
        <f>SUBTOTAL(109,SavingPlanTable[Feb-30])</f>
        <v>0</v>
      </c>
      <c r="BG26" s="73">
        <f>SUBTOTAL(109,SavingPlanTable[Mar-30])</f>
        <v>0</v>
      </c>
      <c r="BH26" s="69">
        <f>SUBTOTAL(109,SavingPlanTable[29/30 Total])</f>
        <v>0</v>
      </c>
      <c r="BI26" s="73">
        <f>SUBTOTAL(109,SavingPlanTable[Apr-30])</f>
        <v>0</v>
      </c>
      <c r="BJ26" s="73">
        <f>SUBTOTAL(109,SavingPlanTable[May-30])</f>
        <v>0</v>
      </c>
      <c r="BK26" s="73">
        <f>SUBTOTAL(109,SavingPlanTable[Jun-30])</f>
        <v>0</v>
      </c>
      <c r="BL26" s="73">
        <f>SUBTOTAL(109,SavingPlanTable[Jul-30])</f>
        <v>0</v>
      </c>
      <c r="BM26" s="73">
        <f>SUBTOTAL(109,SavingPlanTable[Aug-30])</f>
        <v>0</v>
      </c>
      <c r="BN26" s="73">
        <f>SUBTOTAL(109,SavingPlanTable[Sep-30])</f>
        <v>0</v>
      </c>
      <c r="BO26" s="73">
        <f>SUBTOTAL(109,SavingPlanTable[Oct-30])</f>
        <v>0</v>
      </c>
      <c r="BP26" s="73">
        <f>SUBTOTAL(109,SavingPlanTable[Nov-30])</f>
        <v>0</v>
      </c>
      <c r="BQ26" s="73">
        <f>SUBTOTAL(109,SavingPlanTable[Dec-30])</f>
        <v>0</v>
      </c>
      <c r="BR26" s="73">
        <f>SUBTOTAL(109,SavingPlanTable[Jan-31])</f>
        <v>0</v>
      </c>
      <c r="BS26" s="73">
        <f>SUBTOTAL(109,SavingPlanTable[Feb-31])</f>
        <v>0</v>
      </c>
      <c r="BT26" s="73">
        <f>SUBTOTAL(109,SavingPlanTable[Mar-31])</f>
        <v>0</v>
      </c>
      <c r="BU26" s="69">
        <f>SUBTOTAL(109,SavingPlanTable[30/31 Total])</f>
        <v>0</v>
      </c>
    </row>
  </sheetData>
  <dataValidations count="1">
    <dataValidation type="list" allowBlank="1" showInputMessage="1" showErrorMessage="1" sqref="C14:C25" xr:uid="{0527B3E5-E8E3-4950-AC12-34B933A99D23}">
      <formula1>SavingCategory</formula1>
    </dataValidation>
  </dataValidations>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B371A4DD-83F6-4C90-ADCB-AEF797145532}">
          <x14:formula1>
            <xm:f>Lists!$A$2:$A$5</xm:f>
          </x14:formula1>
          <xm:sqref>H14:H25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4C69-1EF8-4EEF-A84D-5BAE47204319}">
  <sheetPr>
    <tabColor theme="3" tint="0.749992370372631"/>
  </sheetPr>
  <dimension ref="A2:CD12"/>
  <sheetViews>
    <sheetView showGridLines="0" zoomScaleNormal="100" workbookViewId="0">
      <selection activeCell="B1" sqref="B1"/>
    </sheetView>
  </sheetViews>
  <sheetFormatPr defaultColWidth="0" defaultRowHeight="14.5" x14ac:dyDescent="0.35"/>
  <cols>
    <col min="1" max="1" width="2.7265625" style="18" customWidth="1"/>
    <col min="2" max="2" width="2.7265625" customWidth="1"/>
    <col min="3" max="3" width="14.26953125" customWidth="1"/>
    <col min="4" max="4" width="16.26953125" customWidth="1"/>
    <col min="5" max="5" width="75.453125" customWidth="1"/>
    <col min="6" max="6" width="50.1796875" customWidth="1"/>
    <col min="7" max="7" width="14.7265625" customWidth="1"/>
    <col min="8" max="8" width="5.1796875" customWidth="1"/>
    <col min="9" max="9" width="5.1796875" style="18" customWidth="1"/>
    <col min="10" max="13" width="0" hidden="1" customWidth="1"/>
    <col min="14" max="72" width="9.1796875" hidden="1" customWidth="1"/>
    <col min="73" max="73" width="9.453125" hidden="1" customWidth="1"/>
    <col min="74" max="74" width="5.1796875" hidden="1" customWidth="1"/>
    <col min="75" max="79" width="0" hidden="1" customWidth="1"/>
    <col min="83" max="16384" width="9.1796875" hidden="1"/>
  </cols>
  <sheetData>
    <row r="2" spans="1:7" ht="31" x14ac:dyDescent="0.7">
      <c r="A2" s="25"/>
      <c r="C2" s="23" t="str">
        <f>ApplicationTitle</f>
        <v>Transformation Funding Worksheet - DLN Transformation Fund</v>
      </c>
    </row>
    <row r="3" spans="1:7" ht="16.5" x14ac:dyDescent="0.35">
      <c r="C3" s="24" t="s">
        <v>117</v>
      </c>
      <c r="D3" s="24"/>
      <c r="E3" s="24"/>
      <c r="F3" s="24"/>
      <c r="G3" s="24"/>
    </row>
    <row r="5" spans="1:7" ht="16" x14ac:dyDescent="0.45">
      <c r="G5" s="21"/>
    </row>
    <row r="6" spans="1:7" ht="59.5" customHeight="1" x14ac:dyDescent="0.35">
      <c r="C6" s="31" t="s">
        <v>62</v>
      </c>
      <c r="D6" s="32" t="s">
        <v>118</v>
      </c>
      <c r="E6" s="32" t="s">
        <v>63</v>
      </c>
      <c r="F6" s="32" t="s">
        <v>64</v>
      </c>
      <c r="G6" s="32" t="s">
        <v>367</v>
      </c>
    </row>
    <row r="7" spans="1:7" x14ac:dyDescent="0.35">
      <c r="C7" s="27" t="s">
        <v>66</v>
      </c>
      <c r="D7" s="30"/>
      <c r="E7" s="30"/>
      <c r="F7" s="30"/>
      <c r="G7" s="54"/>
    </row>
    <row r="8" spans="1:7" x14ac:dyDescent="0.35">
      <c r="C8" s="27" t="s">
        <v>68</v>
      </c>
      <c r="D8" s="30"/>
      <c r="E8" s="30"/>
      <c r="F8" s="30"/>
      <c r="G8" s="54"/>
    </row>
    <row r="9" spans="1:7" x14ac:dyDescent="0.35">
      <c r="C9" s="27" t="s">
        <v>69</v>
      </c>
      <c r="D9" s="30"/>
      <c r="E9" s="30"/>
      <c r="F9" s="30"/>
      <c r="G9" s="54"/>
    </row>
    <row r="10" spans="1:7" x14ac:dyDescent="0.35">
      <c r="C10" s="27" t="s">
        <v>70</v>
      </c>
      <c r="D10" s="30"/>
      <c r="E10" s="30"/>
      <c r="F10" s="30"/>
      <c r="G10" s="54"/>
    </row>
    <row r="11" spans="1:7" x14ac:dyDescent="0.35">
      <c r="C11" s="27" t="s">
        <v>71</v>
      </c>
      <c r="D11" s="30"/>
      <c r="E11" s="30"/>
      <c r="F11" s="30"/>
      <c r="G11" s="54"/>
    </row>
    <row r="12" spans="1:7" x14ac:dyDescent="0.35">
      <c r="C12" s="28" t="s">
        <v>72</v>
      </c>
      <c r="D12" s="30"/>
      <c r="E12" s="30"/>
      <c r="F12" s="30"/>
      <c r="G12" s="54"/>
    </row>
  </sheetData>
  <phoneticPr fontId="8" type="noConversion"/>
  <dataValidations count="1">
    <dataValidation type="list" allowBlank="1" showInputMessage="1" showErrorMessage="1" sqref="D7:D12" xr:uid="{728CE4AE-D077-4CCB-B4F6-20177E791FA1}">
      <formula1>MilestoneType</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2488d24-bb24-47d6-884d-7da61b93f4a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0C37F07EAA3940A87C2BFA9F9C2E44" ma:contentTypeVersion="9" ma:contentTypeDescription="Create a new document." ma:contentTypeScope="" ma:versionID="9f1e9026cf97522bf27446d538971a8a">
  <xsd:schema xmlns:xsd="http://www.w3.org/2001/XMLSchema" xmlns:xs="http://www.w3.org/2001/XMLSchema" xmlns:p="http://schemas.microsoft.com/office/2006/metadata/properties" xmlns:ns2="e2488d24-bb24-47d6-884d-7da61b93f4a1" targetNamespace="http://schemas.microsoft.com/office/2006/metadata/properties" ma:root="true" ma:fieldsID="89e9cb7f5eb100597a002052060fdda3" ns2:_="">
    <xsd:import namespace="e2488d24-bb24-47d6-884d-7da61b93f4a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488d24-bb24-47d6-884d-7da61b93f4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61A687-34CC-450C-8960-A2A6E4854824}">
  <ds:schemaRefs>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e2488d24-bb24-47d6-884d-7da61b93f4a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270DC26-D865-4276-8495-84B4A9F6F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488d24-bb24-47d6-884d-7da61b93f4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CC7B05-6718-4D34-A7E0-B8CE90C5D07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Lists</vt:lpstr>
      <vt:lpstr>TF Impacts - Archive</vt:lpstr>
      <vt:lpstr>Summary</vt:lpstr>
      <vt:lpstr>ICB Metrics</vt:lpstr>
      <vt:lpstr>Economic Case - Benefits</vt:lpstr>
      <vt:lpstr>Financial Case - Investment</vt:lpstr>
      <vt:lpstr>Financial Case - Savings</vt:lpstr>
      <vt:lpstr>Management Case - Milestones</vt:lpstr>
      <vt:lpstr>ApplicationTitle</vt:lpstr>
      <vt:lpstr>BenefitCategory</vt:lpstr>
      <vt:lpstr>InvestmentCategory</vt:lpstr>
      <vt:lpstr>MilestoneType</vt:lpstr>
      <vt:lpstr>Occurrence</vt:lpstr>
      <vt:lpstr>'Economic Case - Benefits'!Print_Titles</vt:lpstr>
      <vt:lpstr>SavingCategory</vt:lpstr>
      <vt:lpstr>SavingType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RYCROFT, Jonathan (NHS NOTTINGHAM AND NOTTINGHAMSHIRE ICB - 52R)</dc:creator>
  <cp:keywords/>
  <dc:description/>
  <cp:lastModifiedBy>TAYLOR, Ben (NHS NOTTINGHAM AND NOTTINGHAMSHIRE ICB - </cp:lastModifiedBy>
  <cp:revision/>
  <dcterms:created xsi:type="dcterms:W3CDTF">2026-02-23T16:31:42Z</dcterms:created>
  <dcterms:modified xsi:type="dcterms:W3CDTF">2026-03-06T14:55:42Z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0x010100B00C37F07EAA3940A87C2BFA9F9C2E44</vt:lpwstr>
  </property>
  <property fmtid="{D5CDD505-2E9C-101B-9397-08002B2CF9AE}" pid="3" name="MediaServiceImageTags">
    <vt:lpwstr/>
  </property>
</Properties>
</file>